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15" activeTab="2"/>
  </bookViews>
  <sheets>
    <sheet name="Recap " sheetId="1" r:id="rId1"/>
    <sheet name="BINDEX" sheetId="2" r:id="rId2"/>
    <sheet name="GENERAL" sheetId="3" r:id="rId3"/>
    <sheet name="Economic Development" sheetId="4" state="hidden" r:id="rId4"/>
    <sheet name="ADMINISTRATION" sheetId="5" r:id="rId5"/>
    <sheet name="POLICE" sheetId="6" r:id="rId6"/>
    <sheet name="HANDIBUS" sheetId="7" r:id="rId7"/>
    <sheet name="LIBRARY" sheetId="8" r:id="rId8"/>
    <sheet name="PARK" sheetId="9" r:id="rId9"/>
    <sheet name="SUMMER REC" sheetId="10" r:id="rId10"/>
    <sheet name="POOL" sheetId="11" r:id="rId11"/>
    <sheet name="LB840" sheetId="12" r:id="rId12"/>
    <sheet name="STREET" sheetId="13" r:id="rId13"/>
    <sheet name="COMMUNITY IMPROVEMENT" sheetId="14" state="hidden" r:id="rId14"/>
    <sheet name="KENO" sheetId="15" r:id="rId15"/>
    <sheet name="COMMUNITY DEVELOPMENT" sheetId="16" r:id="rId16"/>
    <sheet name="HOUSING AUTHORITY" sheetId="17" r:id="rId17"/>
    <sheet name="OLD LIBRARY" sheetId="18" r:id="rId18"/>
    <sheet name="ELECTRIC PLANT" sheetId="19" r:id="rId19"/>
    <sheet name="DEBT SERVICE" sheetId="20" state="hidden" r:id="rId20"/>
    <sheet name="ELECTRICAL DISTRIBUTION" sheetId="21" r:id="rId21"/>
    <sheet name="WATER" sheetId="22" r:id="rId22"/>
    <sheet name="SEWER" sheetId="23" r:id="rId23"/>
    <sheet name="PLAINVIEW 07-08" sheetId="24" state="hidden" r:id="rId24"/>
    <sheet name="PLAINVIEW 08-09" sheetId="25" state="hidden" r:id="rId25"/>
    <sheet name="BUDGET SUMMARY 09-10" sheetId="26" state="hidden" r:id="rId26"/>
    <sheet name="BUDGET PG2" sheetId="27" state="hidden" r:id="rId27"/>
    <sheet name="BUDGET PG3" sheetId="28" state="hidden" r:id="rId28"/>
    <sheet name="BUDGET PG4" sheetId="29" state="hidden" r:id="rId29"/>
    <sheet name="BUDGET PG5" sheetId="30" state="hidden" r:id="rId30"/>
    <sheet name="C&amp;D Site" sheetId="31" r:id="rId31"/>
    <sheet name="SOLID WASTE-TRANSFER" sheetId="32" r:id="rId32"/>
    <sheet name="RECAP 16-17" sheetId="33" r:id="rId33"/>
    <sheet name="TRANSFERS" sheetId="34" r:id="rId34"/>
  </sheets>
  <definedNames>
    <definedName name="gen" localSheetId="33">#REF!</definedName>
    <definedName name="gen">#REF!</definedName>
    <definedName name="general">#REF!</definedName>
    <definedName name="_xlnm.Print_Area" localSheetId="4">'ADMINISTRATION'!$A$1:$F$105</definedName>
    <definedName name="_xlnm.Print_Area" localSheetId="1">'BINDEX'!$A$1:$G$31</definedName>
    <definedName name="_xlnm.Print_Area" localSheetId="25">'BUDGET SUMMARY 09-10'!$A$1:$O$62</definedName>
    <definedName name="_xlnm.Print_Area" localSheetId="19">'DEBT SERVICE'!$A$1:$G$62</definedName>
    <definedName name="_xlnm.Print_Area" localSheetId="18">'ELECTRIC PLANT'!$A$1:$F$113</definedName>
    <definedName name="_xlnm.Print_Area" localSheetId="2">'GENERAL'!$A$1:$F$49</definedName>
    <definedName name="_xlnm.Print_Area" localSheetId="6">'HANDIBUS'!$A$1:$F$27</definedName>
    <definedName name="_xlnm.Print_Area" localSheetId="11">'LB840'!$A$1:$F$32</definedName>
    <definedName name="_xlnm.Print_Area" localSheetId="7">'LIBRARY'!$A$1:$F$107</definedName>
    <definedName name="_xlnm.Print_Area" localSheetId="17">'OLD LIBRARY'!$A$1:$F$33</definedName>
    <definedName name="_xlnm.Print_Area" localSheetId="8">'PARK'!$A$1:$F$70</definedName>
    <definedName name="_xlnm.Print_Area" localSheetId="23">'PLAINVIEW 07-08'!$A$1:$O$61</definedName>
    <definedName name="_xlnm.Print_Area" localSheetId="5">'POLICE'!$A$1:$F$100</definedName>
    <definedName name="_xlnm.Print_Area" localSheetId="10">'POOL'!$A$1:$F$40</definedName>
    <definedName name="_xlnm.Print_Area" localSheetId="32">'RECAP 16-17'!$A$1:$R$64</definedName>
    <definedName name="_xlnm.Print_Area" localSheetId="22">'SEWER'!$A$1:$F$113</definedName>
    <definedName name="_xlnm.Print_Area" localSheetId="31">'SOLID WASTE-TRANSFER'!$A$1:$F$105</definedName>
    <definedName name="_xlnm.Print_Area" localSheetId="12">'STREET'!$A$1:$F$121</definedName>
    <definedName name="_xlnm.Print_Area" localSheetId="9">'SUMMER REC'!$A$1:$F$45</definedName>
    <definedName name="_xlnm.Print_Area" localSheetId="33">'TRANSFERS'!$A$1:$H$57</definedName>
    <definedName name="_xlnm.Print_Area" localSheetId="21">'WATER'!$A$1:$F$108</definedName>
    <definedName name="_xlnm.Print_Area">'WATER'!$A$1:$F$107</definedName>
    <definedName name="Print_Area_MI" localSheetId="1">'BINDEX'!$A$1:$E$31</definedName>
    <definedName name="Print_Area_MI" localSheetId="25">'BUDGET SUMMARY 09-10'!$A$1:$B$41</definedName>
    <definedName name="Print_Area_MI" localSheetId="23">'PLAINVIEW 07-08'!$A$1:$H$37</definedName>
    <definedName name="Print_Area_MI" localSheetId="32">'RECAP 16-17'!$A$1:$B$42</definedName>
    <definedName name="PRINT_AREA_MI">'WATER'!$A$1:$F$107</definedName>
    <definedName name="PRINT_TITLES_MI" localSheetId="33">#REF!</definedName>
    <definedName name="PRINT_TITLES_MI">#REF!</definedName>
  </definedNames>
  <calcPr fullCalcOnLoad="1"/>
</workbook>
</file>

<file path=xl/comments21.xml><?xml version="1.0" encoding="utf-8"?>
<comments xmlns="http://schemas.openxmlformats.org/spreadsheetml/2006/main">
  <authors>
    <author>Valued Gateway Client</author>
  </authors>
  <commentList>
    <comment ref="D31" authorId="0">
      <text>
        <r>
          <rPr>
            <b/>
            <sz val="8"/>
            <rFont val="Tahoma"/>
            <family val="2"/>
          </rPr>
          <t>Valued Gateway Client:</t>
        </r>
        <r>
          <rPr>
            <sz val="8"/>
            <rFont val="Tahoma"/>
            <family val="2"/>
          </rPr>
          <t xml:space="preserve">
boom truck loan</t>
        </r>
      </text>
    </comment>
  </commentList>
</comments>
</file>

<file path=xl/sharedStrings.xml><?xml version="1.0" encoding="utf-8"?>
<sst xmlns="http://schemas.openxmlformats.org/spreadsheetml/2006/main" count="2479" uniqueCount="728">
  <si>
    <t xml:space="preserve">  </t>
  </si>
  <si>
    <t>CITY OF O'NEILL</t>
  </si>
  <si>
    <t xml:space="preserve">   to</t>
  </si>
  <si>
    <t>Actual</t>
  </si>
  <si>
    <t>EXPENDITURES</t>
  </si>
  <si>
    <t>Administration</t>
  </si>
  <si>
    <t>Police</t>
  </si>
  <si>
    <t xml:space="preserve"> </t>
  </si>
  <si>
    <t>Library</t>
  </si>
  <si>
    <t>Park</t>
  </si>
  <si>
    <t>TOTALS</t>
  </si>
  <si>
    <t>Necessary Cash Reserve</t>
  </si>
  <si>
    <t>TOTAL REQUIREMENTS</t>
  </si>
  <si>
    <t>REVENUES</t>
  </si>
  <si>
    <t>Miscellaneous</t>
  </si>
  <si>
    <t>Donations</t>
  </si>
  <si>
    <t>TOTAL REVENUES</t>
  </si>
  <si>
    <t>Less Expenditures</t>
  </si>
  <si>
    <t>Balance</t>
  </si>
  <si>
    <t>110</t>
  </si>
  <si>
    <t>Salaries</t>
  </si>
  <si>
    <t>Council Salaries</t>
  </si>
  <si>
    <t>Employee Insurance</t>
  </si>
  <si>
    <t>Payroll Taxes</t>
  </si>
  <si>
    <t>Employee Retirement</t>
  </si>
  <si>
    <t>210</t>
  </si>
  <si>
    <t>Professional Fees</t>
  </si>
  <si>
    <t>Insurance</t>
  </si>
  <si>
    <t>530</t>
  </si>
  <si>
    <t>Capital Expenditures</t>
  </si>
  <si>
    <t>TOTAL</t>
  </si>
  <si>
    <t>Longevity</t>
  </si>
  <si>
    <t>Overtime</t>
  </si>
  <si>
    <t>Mayor</t>
  </si>
  <si>
    <t>Council members</t>
  </si>
  <si>
    <t>Engineering</t>
  </si>
  <si>
    <t>Utilities</t>
  </si>
  <si>
    <t xml:space="preserve"> POLICE BUDGET</t>
  </si>
  <si>
    <t>POLICE</t>
  </si>
  <si>
    <t>Park Improvements</t>
  </si>
  <si>
    <t>Audit</t>
  </si>
  <si>
    <t>Park Improvement</t>
  </si>
  <si>
    <t>Fund Balance</t>
  </si>
  <si>
    <t>Freight</t>
  </si>
  <si>
    <t>610</t>
  </si>
  <si>
    <t>Bond Principal</t>
  </si>
  <si>
    <t>Bond Interest</t>
  </si>
  <si>
    <t xml:space="preserve">               GENERAL OBLIGATION DEBT SERVICE FUND</t>
  </si>
  <si>
    <t>Fees to Fremont National Bank</t>
  </si>
  <si>
    <t>620</t>
  </si>
  <si>
    <t>Future Maturities</t>
  </si>
  <si>
    <t>29 Interest</t>
  </si>
  <si>
    <t>17 Property Taxes</t>
  </si>
  <si>
    <t>77 City Sales Tax</t>
  </si>
  <si>
    <t>58 Special Assessments</t>
  </si>
  <si>
    <t>18 Homestead Exemption</t>
  </si>
  <si>
    <t>City Clerk/Treasurer</t>
  </si>
  <si>
    <t>29 Interest on Investments</t>
  </si>
  <si>
    <t xml:space="preserve">Total valuation </t>
  </si>
  <si>
    <t>GENERAL</t>
  </si>
  <si>
    <t>LIBRARY</t>
  </si>
  <si>
    <t>AMBULANCE</t>
  </si>
  <si>
    <t>WATER</t>
  </si>
  <si>
    <t>SEWER</t>
  </si>
  <si>
    <t>STREET</t>
  </si>
  <si>
    <t>CENTER</t>
  </si>
  <si>
    <t>BEGINNING BALANCE</t>
  </si>
  <si>
    <t xml:space="preserve">  PROPERTY TAXES</t>
  </si>
  <si>
    <t xml:space="preserve">  MOTOR VEHICLE TAXES</t>
  </si>
  <si>
    <t xml:space="preserve">  MOTOR VEHICLE FEES</t>
  </si>
  <si>
    <t xml:space="preserve">  STATE AID</t>
  </si>
  <si>
    <t xml:space="preserve">  EQUALIZATION AID</t>
  </si>
  <si>
    <t xml:space="preserve">  INCENTIVE PAYMENT</t>
  </si>
  <si>
    <t xml:space="preserve">  PRO-RATE</t>
  </si>
  <si>
    <t xml:space="preserve">  HOMESTEAD EXEMPTION</t>
  </si>
  <si>
    <t xml:space="preserve">  NPPD 5%</t>
  </si>
  <si>
    <t xml:space="preserve">  NPPD LEASE</t>
  </si>
  <si>
    <t xml:space="preserve">  MIRF</t>
  </si>
  <si>
    <t xml:space="preserve">  HIGHWAY ALLOCATION</t>
  </si>
  <si>
    <t xml:space="preserve">  INTEREST</t>
  </si>
  <si>
    <t xml:space="preserve">  CHARGES FOR SERVICES</t>
  </si>
  <si>
    <t xml:space="preserve">  TRANSFERS</t>
  </si>
  <si>
    <t xml:space="preserve">  GRANTS</t>
  </si>
  <si>
    <t xml:space="preserve">  OTHER REVENUES</t>
  </si>
  <si>
    <t xml:space="preserve">     TOTAL REVENUES</t>
  </si>
  <si>
    <t xml:space="preserve">  PERSONAL SERVICES</t>
  </si>
  <si>
    <t xml:space="preserve">  OPERATING EXPENSE</t>
  </si>
  <si>
    <t xml:space="preserve">  CAPITAL OUTLAY</t>
  </si>
  <si>
    <t xml:space="preserve">  DEBT SERVICE </t>
  </si>
  <si>
    <t xml:space="preserve">       PRINCIPAL</t>
  </si>
  <si>
    <t xml:space="preserve">       INTEREST</t>
  </si>
  <si>
    <t xml:space="preserve">  OTHER</t>
  </si>
  <si>
    <t xml:space="preserve"> TRANSFERS</t>
  </si>
  <si>
    <t xml:space="preserve">        TOTAL EXPENDITURES</t>
  </si>
  <si>
    <t>CASH RESERVE</t>
  </si>
  <si>
    <t xml:space="preserve">  GENERAL</t>
  </si>
  <si>
    <t>KENO</t>
  </si>
  <si>
    <t>COMM</t>
  </si>
  <si>
    <t>DEV</t>
  </si>
  <si>
    <t>IMPROV</t>
  </si>
  <si>
    <t>CAP</t>
  </si>
  <si>
    <t xml:space="preserve">DEBT </t>
  </si>
  <si>
    <t>SERV</t>
  </si>
  <si>
    <t>RECYC</t>
  </si>
  <si>
    <t xml:space="preserve">  CO ROAD LEVY</t>
  </si>
  <si>
    <t xml:space="preserve">  TAXES - SEWER BONDS</t>
  </si>
  <si>
    <t xml:space="preserve">  LOAN REPAYMENT/BOND SALE</t>
  </si>
  <si>
    <t xml:space="preserve">ADMINISTRATION </t>
  </si>
  <si>
    <t>PARK</t>
  </si>
  <si>
    <t>COMMUNITY DEVELOPMENT</t>
  </si>
  <si>
    <t>1</t>
  </si>
  <si>
    <t>HOUSING</t>
  </si>
  <si>
    <t xml:space="preserve">RECEIPTS, BEGINNING </t>
  </si>
  <si>
    <t>BALANCES &amp; TRANSFERS</t>
  </si>
  <si>
    <t>NET CASH BALANCE</t>
  </si>
  <si>
    <t>INVESTMENTS</t>
  </si>
  <si>
    <t>COUNTY TREASURER'S BALANCE</t>
  </si>
  <si>
    <t xml:space="preserve">      SUBTOTAL OF BEGINNING BALANCES</t>
  </si>
  <si>
    <t xml:space="preserve">  Personal and Real Property Taxes</t>
  </si>
  <si>
    <t xml:space="preserve">  Federal Receipts</t>
  </si>
  <si>
    <t xml:space="preserve">  State Receipts: Motor Vehicle Pro-Rate</t>
  </si>
  <si>
    <t xml:space="preserve">  State Receipts: MIRF</t>
  </si>
  <si>
    <t xml:space="preserve">  State Receipts: Highway Allocation &amp; Inc</t>
  </si>
  <si>
    <t xml:space="preserve">  State Receipts: Motor Vehicle Fee</t>
  </si>
  <si>
    <t xml:space="preserve">  State Receipts: State Aid</t>
  </si>
  <si>
    <t xml:space="preserve">  State Receipts: Municipal Equalization Aid</t>
  </si>
  <si>
    <t xml:space="preserve">  State Receipts: Other</t>
  </si>
  <si>
    <t xml:space="preserve">  Local Receipts: Motor Vehicle Tax</t>
  </si>
  <si>
    <t xml:space="preserve">  Local Receipts: Local Option Sales Tax</t>
  </si>
  <si>
    <t xml:space="preserve">  Local Receipts: In Lieu of Tax</t>
  </si>
  <si>
    <t xml:space="preserve">  Local Receipts: Other</t>
  </si>
  <si>
    <t xml:space="preserve">  Transfers In of Surplus Fees</t>
  </si>
  <si>
    <t xml:space="preserve">  Transfers In Other Than Surplus Fees</t>
  </si>
  <si>
    <t xml:space="preserve">  Proprietary Function Funds</t>
  </si>
  <si>
    <t>Total Resources Available</t>
  </si>
  <si>
    <t>Total Disbursements &amp; Transfers</t>
  </si>
  <si>
    <t>Balance Forward/Cash Reserve</t>
  </si>
  <si>
    <t>DISBURSEMENTS</t>
  </si>
  <si>
    <t>OPERATING</t>
  </si>
  <si>
    <t xml:space="preserve">CAPITAL </t>
  </si>
  <si>
    <t>OTHER</t>
  </si>
  <si>
    <t>DEBT</t>
  </si>
  <si>
    <t>AND TRANSFERS</t>
  </si>
  <si>
    <t>EXPENSES</t>
  </si>
  <si>
    <t>IMP</t>
  </si>
  <si>
    <t>C/O</t>
  </si>
  <si>
    <t>SERVICE</t>
  </si>
  <si>
    <t>GOVERNMENTAL:</t>
  </si>
  <si>
    <t xml:space="preserve">  General Government</t>
  </si>
  <si>
    <t xml:space="preserve">  P/S - Police &amp; Fire</t>
  </si>
  <si>
    <t xml:space="preserve">  P/S - Other</t>
  </si>
  <si>
    <t xml:space="preserve">  P/W - Streets</t>
  </si>
  <si>
    <t xml:space="preserve">  P/W - Other</t>
  </si>
  <si>
    <t xml:space="preserve">  Public Health &amp;</t>
  </si>
  <si>
    <t xml:space="preserve">     Social Service</t>
  </si>
  <si>
    <t xml:space="preserve">  Culture &amp; Rec</t>
  </si>
  <si>
    <t xml:space="preserve">  Comm Development</t>
  </si>
  <si>
    <t xml:space="preserve">  Miscellaneous</t>
  </si>
  <si>
    <t>BUSINESS-TYPE ACT:</t>
  </si>
  <si>
    <t xml:space="preserve">  Airport</t>
  </si>
  <si>
    <t xml:space="preserve">  Nursing Home</t>
  </si>
  <si>
    <t xml:space="preserve">  Hospital</t>
  </si>
  <si>
    <t xml:space="preserve">  Electric Utility</t>
  </si>
  <si>
    <t xml:space="preserve">  Solid Waste</t>
  </si>
  <si>
    <t xml:space="preserve">  Transportation</t>
  </si>
  <si>
    <t xml:space="preserve">  Wastewater</t>
  </si>
  <si>
    <t xml:space="preserve">  Water</t>
  </si>
  <si>
    <t xml:space="preserve">  Other</t>
  </si>
  <si>
    <t>PROP FUNCTION FUNDS</t>
  </si>
  <si>
    <t>TOTAL DISBURSEMENTS</t>
  </si>
  <si>
    <t xml:space="preserve">     &amp; TRANSFERS</t>
  </si>
  <si>
    <t xml:space="preserve">        PERSONAL SERV</t>
  </si>
  <si>
    <t xml:space="preserve">        OPERATING EXPENSE</t>
  </si>
  <si>
    <t xml:space="preserve">        CAPITAL OUTLAY</t>
  </si>
  <si>
    <t xml:space="preserve">        CAPITAL IMPROVEMENTS</t>
  </si>
  <si>
    <t xml:space="preserve">        DEBT SERVICE</t>
  </si>
  <si>
    <t xml:space="preserve">        OTHER</t>
  </si>
  <si>
    <t xml:space="preserve">            INTEREST</t>
  </si>
  <si>
    <t xml:space="preserve">            PRINCIPAL</t>
  </si>
  <si>
    <t xml:space="preserve">     EXPENDITURES</t>
  </si>
  <si>
    <t>ADMINISTRATION</t>
  </si>
  <si>
    <t xml:space="preserve">FIRE </t>
  </si>
  <si>
    <t>TOTAL EXPENDITURES</t>
  </si>
  <si>
    <t xml:space="preserve">  CAPITAL IMPROVEMENTS</t>
  </si>
  <si>
    <t>Operating Expenses</t>
  </si>
  <si>
    <t xml:space="preserve">Books </t>
  </si>
  <si>
    <t xml:space="preserve">                                                     COMMUNITY IMPROVEMENT FUND</t>
  </si>
  <si>
    <t xml:space="preserve">    25% of City Sales Tax </t>
  </si>
  <si>
    <t>TIF</t>
  </si>
  <si>
    <t xml:space="preserve">  STATE SALES TAX</t>
  </si>
  <si>
    <t xml:space="preserve">  CITY SALES TAX</t>
  </si>
  <si>
    <t>Budget</t>
  </si>
  <si>
    <t>Annual audit</t>
  </si>
  <si>
    <t>Budget work</t>
  </si>
  <si>
    <t>Act+Est</t>
  </si>
  <si>
    <t>Interest</t>
  </si>
  <si>
    <t>Econ Loan</t>
  </si>
  <si>
    <t>16 MV Pro Rate</t>
  </si>
  <si>
    <t>(Actual)</t>
  </si>
  <si>
    <t xml:space="preserve">This year </t>
  </si>
  <si>
    <t>Increase ($)</t>
  </si>
  <si>
    <t>Increase (%)</t>
  </si>
  <si>
    <t>General levy</t>
  </si>
  <si>
    <t>CEMETERY</t>
  </si>
  <si>
    <t>Less Requirements</t>
  </si>
  <si>
    <t>UPDATE</t>
  </si>
  <si>
    <t>09 In-lieu-of Tax-NPPD</t>
  </si>
  <si>
    <t>Est Actual</t>
  </si>
  <si>
    <t xml:space="preserve">  IN LIEU nppd 5%</t>
  </si>
  <si>
    <t xml:space="preserve">  IN LIEU NPPD 5%</t>
  </si>
  <si>
    <t>Street Principal</t>
  </si>
  <si>
    <t>2006-2007</t>
  </si>
  <si>
    <t>2007-2008</t>
  </si>
  <si>
    <t>Principal 03 Sewer refunding bond issues</t>
  </si>
  <si>
    <t>Principal Street bond issues</t>
  </si>
  <si>
    <t>Interest on the 03 sewer refunding bond issues</t>
  </si>
  <si>
    <t>xxxxxxxxx</t>
  </si>
  <si>
    <t>2008-2009</t>
  </si>
  <si>
    <t xml:space="preserve">Heat </t>
  </si>
  <si>
    <t>Telephone</t>
  </si>
  <si>
    <t xml:space="preserve">Electricity </t>
  </si>
  <si>
    <t xml:space="preserve">Internet </t>
  </si>
  <si>
    <t>10-1-06</t>
  </si>
  <si>
    <t>9-30-07</t>
  </si>
  <si>
    <t>Community Center</t>
  </si>
  <si>
    <t>Street Interest</t>
  </si>
  <si>
    <t>Interest on the 02 street paving bond issues</t>
  </si>
  <si>
    <t>2009-2010</t>
  </si>
  <si>
    <t>Sewer Prin.</t>
  </si>
  <si>
    <t>Sewer Int.</t>
  </si>
  <si>
    <t>Street Principal  Street Int.</t>
  </si>
  <si>
    <t>GO Sewer - Principal</t>
  </si>
  <si>
    <t>GO Sewer -Int.</t>
  </si>
  <si>
    <t xml:space="preserve">PER FUND PAGE </t>
  </si>
  <si>
    <t>Restricted rev</t>
  </si>
  <si>
    <t xml:space="preserve">Total </t>
  </si>
  <si>
    <t>10-1-07</t>
  </si>
  <si>
    <t>9-30-08</t>
  </si>
  <si>
    <t>2010-2011</t>
  </si>
  <si>
    <t>Proceeds long-term debt</t>
  </si>
  <si>
    <t>Street lights</t>
  </si>
  <si>
    <t>per audit</t>
  </si>
  <si>
    <t xml:space="preserve">    Grant - Safe Routes to School</t>
  </si>
  <si>
    <t>Community Center expenses</t>
  </si>
  <si>
    <t>Sidewalk Project - N. Hynes Ave</t>
  </si>
  <si>
    <t>SOLID WASTE</t>
  </si>
  <si>
    <t>Library Director</t>
  </si>
  <si>
    <t>Water/Sewer Supervisor</t>
  </si>
  <si>
    <t>Police Chief</t>
  </si>
  <si>
    <t>Solid Waste Manager</t>
  </si>
  <si>
    <t>10-1-08</t>
  </si>
  <si>
    <t>9-30-09</t>
  </si>
  <si>
    <t>2006-2007 ACTUAL</t>
  </si>
  <si>
    <t>2007-2008 ESTIMATED ACTUAL</t>
  </si>
  <si>
    <t>2008-2009 ADOPTED BUDGET</t>
  </si>
  <si>
    <t>2007-2008 BUDGET SUMMARY</t>
  </si>
  <si>
    <t xml:space="preserve">of record </t>
  </si>
  <si>
    <t>Community Center CDs</t>
  </si>
  <si>
    <t>Community Center CDs-Reappropriated</t>
  </si>
  <si>
    <t xml:space="preserve">Paving-Putter Street &amp; Fremont </t>
  </si>
  <si>
    <t>2011-2012</t>
  </si>
  <si>
    <t>2012-2013</t>
  </si>
  <si>
    <t>Salaries and Benefits</t>
  </si>
  <si>
    <t>Professional &amp; Schooling</t>
  </si>
  <si>
    <t>Operating</t>
  </si>
  <si>
    <t>Principle</t>
  </si>
  <si>
    <t>Printing &amp; Publishing</t>
  </si>
  <si>
    <t>CITY OF PLAINVIEW</t>
  </si>
  <si>
    <t>10-1-09</t>
  </si>
  <si>
    <t>9-30-10</t>
  </si>
  <si>
    <t>Employee Pension</t>
  </si>
  <si>
    <t>Operating (Postage, supplies)</t>
  </si>
  <si>
    <t>Books, Videos, Mag.</t>
  </si>
  <si>
    <t>Operating (gas, postage, etc.)</t>
  </si>
  <si>
    <t>Printing and Publishing</t>
  </si>
  <si>
    <t>Trainings</t>
  </si>
  <si>
    <t>Machinery-Equipment</t>
  </si>
  <si>
    <t>Improvements</t>
  </si>
  <si>
    <t>Actual + Est</t>
  </si>
  <si>
    <t xml:space="preserve">          CITY OF PLAINVIEW</t>
  </si>
  <si>
    <t>REVENUE</t>
  </si>
  <si>
    <t>Fees, Permits &amp; Licenses</t>
  </si>
  <si>
    <t>EXPENSE BREAKDOWN</t>
  </si>
  <si>
    <t>EXPENSES BREAKDOWN</t>
  </si>
  <si>
    <t>Plainview News</t>
  </si>
  <si>
    <t>City of Plainview</t>
  </si>
  <si>
    <t>gas,repairs,misc.</t>
  </si>
  <si>
    <t>dozer payments</t>
  </si>
  <si>
    <t>Park needs</t>
  </si>
  <si>
    <t>Meeting registration</t>
  </si>
  <si>
    <t>Legal Notices</t>
  </si>
  <si>
    <t>Liability Insurance</t>
  </si>
  <si>
    <t>Repairs, gas. Misc.</t>
  </si>
  <si>
    <t>Landscaping</t>
  </si>
  <si>
    <t>New Benches</t>
  </si>
  <si>
    <t>Machinery, Equipment, Meters</t>
  </si>
  <si>
    <t>park equipment</t>
  </si>
  <si>
    <t>two payments on mower</t>
  </si>
  <si>
    <t>two interest payments</t>
  </si>
  <si>
    <t>Pension-city</t>
  </si>
  <si>
    <t>Machinery, Equip, &amp; Meters</t>
  </si>
  <si>
    <t>City Sales Tax</t>
  </si>
  <si>
    <t>Refunds</t>
  </si>
  <si>
    <t>Equipment Rental</t>
  </si>
  <si>
    <t>Bank Notes</t>
  </si>
  <si>
    <t>Transfer Revenue</t>
  </si>
  <si>
    <t>Legal</t>
  </si>
  <si>
    <t>monthly costs</t>
  </si>
  <si>
    <t>street needs/enhancements</t>
  </si>
  <si>
    <t>Loan payments on equipment</t>
  </si>
  <si>
    <t>Interest on loans</t>
  </si>
  <si>
    <t>Totals</t>
  </si>
  <si>
    <t>Debt Service - Water bonds</t>
  </si>
  <si>
    <t>Tax Levy in dollars Per 100</t>
  </si>
  <si>
    <t xml:space="preserve">General levy at 50 cents </t>
  </si>
  <si>
    <t>2009-2010 BUDGET SUMMARY</t>
  </si>
  <si>
    <t>Fire Department</t>
  </si>
  <si>
    <t>Misc.</t>
  </si>
  <si>
    <t>Machinery, Equip &amp; Meters</t>
  </si>
  <si>
    <t>Transfer Expenses</t>
  </si>
  <si>
    <t xml:space="preserve">            CITY OF PLAINVIEW</t>
  </si>
  <si>
    <t xml:space="preserve">Present salary  </t>
  </si>
  <si>
    <t xml:space="preserve">Legal fees  </t>
  </si>
  <si>
    <t>Incidentals</t>
  </si>
  <si>
    <t xml:space="preserve">Misc.  </t>
  </si>
  <si>
    <t>Present X 10%</t>
  </si>
  <si>
    <t>City of Plainview/KN Energy</t>
  </si>
  <si>
    <t>postage, gas, etc.</t>
  </si>
  <si>
    <t>Machinery, Equip. &amp; Meters</t>
  </si>
  <si>
    <t>Transfer Expense</t>
  </si>
  <si>
    <t>Total</t>
  </si>
  <si>
    <t>books to order</t>
  </si>
  <si>
    <t>Pension</t>
  </si>
  <si>
    <t>Police Officer</t>
  </si>
  <si>
    <t>On Call</t>
  </si>
  <si>
    <t>other</t>
  </si>
  <si>
    <t>Plainview Telephone Company</t>
  </si>
  <si>
    <t>local notices</t>
  </si>
  <si>
    <t>Purchase of New Car</t>
  </si>
  <si>
    <t>City Pension</t>
  </si>
  <si>
    <t>Meter Deposit Refund</t>
  </si>
  <si>
    <t>Troy Johnston Present Wages</t>
  </si>
  <si>
    <t>On Call weekends 10 weeks at $120</t>
  </si>
  <si>
    <t>any legal &amp; training</t>
  </si>
  <si>
    <t>Estimated cost</t>
  </si>
  <si>
    <t xml:space="preserve">Insurance </t>
  </si>
  <si>
    <t>Current budget numbers minus sinking fund</t>
  </si>
  <si>
    <t>Estimated payments on items</t>
  </si>
  <si>
    <t>Housing Loan Expenses</t>
  </si>
  <si>
    <t>Machinery, Equipment &amp; Meters</t>
  </si>
  <si>
    <t>Shop Sales</t>
  </si>
  <si>
    <t xml:space="preserve">Present salary (1/2) </t>
  </si>
  <si>
    <t>Legal fees &amp; training</t>
  </si>
  <si>
    <t>Plainview Telephone</t>
  </si>
  <si>
    <t>Gas &amp; Electric</t>
  </si>
  <si>
    <t>Misc. Costs</t>
  </si>
  <si>
    <t xml:space="preserve">Rehab. </t>
  </si>
  <si>
    <t>Water Bond payments</t>
  </si>
  <si>
    <t xml:space="preserve">Interest  </t>
  </si>
  <si>
    <t>SRF Fee Payments</t>
  </si>
  <si>
    <t>Water &amp; Sewer Superintendent 1/2</t>
  </si>
  <si>
    <t xml:space="preserve">Present salary </t>
  </si>
  <si>
    <t>Legal &amp; training</t>
  </si>
  <si>
    <t>Plainview Telephone (cell and land lines)</t>
  </si>
  <si>
    <t>Gas &amp; Electricity (same as last year)</t>
  </si>
  <si>
    <t>Wire fees</t>
  </si>
  <si>
    <t>Sewer Bonds</t>
  </si>
  <si>
    <t>Tractor, sewer &amp; SRF</t>
  </si>
  <si>
    <t>LP Gill Bills</t>
  </si>
  <si>
    <t>Landfill Fees</t>
  </si>
  <si>
    <t>Legal &amp; Training</t>
  </si>
  <si>
    <t>Cell &amp; Landline</t>
  </si>
  <si>
    <t>Landfill bills</t>
  </si>
  <si>
    <t>Postage, Gas, Etc.</t>
  </si>
  <si>
    <t>Payroll taxes</t>
  </si>
  <si>
    <t>Recreational Tickets</t>
  </si>
  <si>
    <t>Machine, Equip. &amp; Meters</t>
  </si>
  <si>
    <t>Installation Charge</t>
  </si>
  <si>
    <t>Electrical Supervisor</t>
  </si>
  <si>
    <t>Dispatch</t>
  </si>
  <si>
    <t>POOL</t>
  </si>
  <si>
    <t>C &amp; D SITE</t>
  </si>
  <si>
    <t>SOLID</t>
  </si>
  <si>
    <t>WASTE</t>
  </si>
  <si>
    <t>SUMMER</t>
  </si>
  <si>
    <t>REC.</t>
  </si>
  <si>
    <t>CITY</t>
  </si>
  <si>
    <t xml:space="preserve">NURSING </t>
  </si>
  <si>
    <t>Homestead Allocation &amp; property tax credit</t>
  </si>
  <si>
    <t>Fees/Licenses</t>
  </si>
  <si>
    <t>Franchise Fees</t>
  </si>
  <si>
    <t>Transfers In</t>
  </si>
  <si>
    <t>Capital Outlay</t>
  </si>
  <si>
    <t xml:space="preserve">Last year </t>
  </si>
  <si>
    <t xml:space="preserve">City </t>
  </si>
  <si>
    <t xml:space="preserve">Bond </t>
  </si>
  <si>
    <t xml:space="preserve">Levy </t>
  </si>
  <si>
    <t>(Proposed)</t>
  </si>
  <si>
    <t xml:space="preserve">TOTAL LEVY </t>
  </si>
  <si>
    <t>Hwy Allocation &amp; Incentive</t>
  </si>
  <si>
    <t>Motor Vehicle Fees</t>
  </si>
  <si>
    <t>Federal Receipts</t>
  </si>
  <si>
    <t xml:space="preserve"> FEDERAL</t>
  </si>
  <si>
    <t>Long term debt proceeds</t>
  </si>
  <si>
    <t>Sale of property</t>
  </si>
  <si>
    <t>Miscellaneous/Refunds</t>
  </si>
  <si>
    <t>BALANCE</t>
  </si>
  <si>
    <t>Transfer to water fund for water bond pymt</t>
  </si>
  <si>
    <t>Principle-pool bonds</t>
  </si>
  <si>
    <t>Interest-pool bonds</t>
  </si>
  <si>
    <t>Property Tax</t>
  </si>
  <si>
    <t>Homestead Exemption/Prop Tax Credit</t>
  </si>
  <si>
    <t>Special assessments</t>
  </si>
  <si>
    <t>Tournaments</t>
  </si>
  <si>
    <t>Concessions</t>
  </si>
  <si>
    <t>Uniforms</t>
  </si>
  <si>
    <t>Loan repayments</t>
  </si>
  <si>
    <t>DEQ loan proceeds</t>
  </si>
  <si>
    <t>Federal Grants</t>
  </si>
  <si>
    <t>Bond proceeds</t>
  </si>
  <si>
    <t>Transfers out</t>
  </si>
  <si>
    <t>SRF Fee Payments &amp; bond issue costs</t>
  </si>
  <si>
    <t>Bank note proceeds</t>
  </si>
  <si>
    <t>Capital outlay</t>
  </si>
  <si>
    <t>Tree Iron Waste</t>
  </si>
  <si>
    <t>Meter deposits</t>
  </si>
  <si>
    <t>Electric distribution revenues</t>
  </si>
  <si>
    <t>Electric Distribution expenditures</t>
  </si>
  <si>
    <t>FEMA grant</t>
  </si>
  <si>
    <t>ELECTRIC</t>
  </si>
  <si>
    <t>NE Coop. Lottery</t>
  </si>
  <si>
    <t>Transfers Out</t>
  </si>
  <si>
    <t>Grants given to other organizations</t>
  </si>
  <si>
    <t>Fees</t>
  </si>
  <si>
    <t>Housing Loan Expenditures</t>
  </si>
  <si>
    <t>State Aid</t>
  </si>
  <si>
    <t>Municipal Equalization</t>
  </si>
  <si>
    <t>Motor Vehicle Prorate</t>
  </si>
  <si>
    <t>Motor Vehicle Tax</t>
  </si>
  <si>
    <t>Library State Aid</t>
  </si>
  <si>
    <t xml:space="preserve">Property Taxes </t>
  </si>
  <si>
    <t>ADMINISTRATION FUND BUDGET</t>
  </si>
  <si>
    <t xml:space="preserve">    POLICE FUND BUDGET</t>
  </si>
  <si>
    <t xml:space="preserve">   ADMINISTRATION FUND BUDGET</t>
  </si>
  <si>
    <t>LIBRARY FUND BUDGET</t>
  </si>
  <si>
    <t xml:space="preserve">             CITY OF PLAINVIEW</t>
  </si>
  <si>
    <t xml:space="preserve">         LIBRARY FUND BUDGET</t>
  </si>
  <si>
    <t xml:space="preserve">           PARK FUND BUDGET</t>
  </si>
  <si>
    <t>SUMMER RECREATION FUND BUDGET</t>
  </si>
  <si>
    <t>PARK FUND BUDGET</t>
  </si>
  <si>
    <t>POLICE FUND BUDGET</t>
  </si>
  <si>
    <t>GENERAL FUND BUDGET</t>
  </si>
  <si>
    <t>SWIMMING POOL FUND BUDGET</t>
  </si>
  <si>
    <t>STREET FUND BUDGET</t>
  </si>
  <si>
    <t xml:space="preserve">        STREET FUND BUDGET</t>
  </si>
  <si>
    <t>KENO FUND BUDGET</t>
  </si>
  <si>
    <t>HOUSING AUTHORITY FUND BUDGET</t>
  </si>
  <si>
    <t>ELECTRIC PLANT FUND BUDGET</t>
  </si>
  <si>
    <t xml:space="preserve">        ELECTRIC PLANT FUND BUDGET</t>
  </si>
  <si>
    <t xml:space="preserve">                  CITY OF PLAINVIEW</t>
  </si>
  <si>
    <t>ELECTRICAL DISTRIBUTION</t>
  </si>
  <si>
    <t xml:space="preserve">  ELECTRIC DISTRIBUTION FUND BUDGET</t>
  </si>
  <si>
    <t>WATER DEPARTMENT FUND BUDGET</t>
  </si>
  <si>
    <t xml:space="preserve">   WATER DEPARTMENT FUND BUDGET</t>
  </si>
  <si>
    <t>SEWER FUND BUDGET</t>
  </si>
  <si>
    <t xml:space="preserve">                SEWER FUND BUDGET</t>
  </si>
  <si>
    <t xml:space="preserve">       C&amp;D SITE REPORT FUND BUDGET</t>
  </si>
  <si>
    <t>C&amp;D SITE FUND BUDGET</t>
  </si>
  <si>
    <t>SOLID WASTE FUND BUDGET</t>
  </si>
  <si>
    <t xml:space="preserve">                                                                                SOLID WASTE FUND BUDGET</t>
  </si>
  <si>
    <t xml:space="preserve">COMMUNITY DEVELOPMENT FUND BUDGET </t>
  </si>
  <si>
    <t>SUMMER RECREATION</t>
  </si>
  <si>
    <t>HOUSING AUTHORITY</t>
  </si>
  <si>
    <t>C&amp;D SITE</t>
  </si>
  <si>
    <t xml:space="preserve">  LOAN PROCEEDS/BOND SALE</t>
  </si>
  <si>
    <t xml:space="preserve">        TRANSFERS OUT</t>
  </si>
  <si>
    <t>move the police station</t>
  </si>
  <si>
    <t>Personell insurance</t>
  </si>
  <si>
    <t>City Administrator</t>
  </si>
  <si>
    <t>on call at 2.5</t>
  </si>
  <si>
    <t>on call 2.5 times</t>
  </si>
  <si>
    <t>ELECTRIC PLANT</t>
  </si>
  <si>
    <t>Capital Improvements</t>
  </si>
  <si>
    <t>Capital Improvement</t>
  </si>
  <si>
    <t>2-4</t>
  </si>
  <si>
    <t>5-7</t>
  </si>
  <si>
    <t>8</t>
  </si>
  <si>
    <t>9-11</t>
  </si>
  <si>
    <t>12-13</t>
  </si>
  <si>
    <t>14</t>
  </si>
  <si>
    <t>15</t>
  </si>
  <si>
    <t>16-17</t>
  </si>
  <si>
    <t>18-20</t>
  </si>
  <si>
    <t>21</t>
  </si>
  <si>
    <t>22</t>
  </si>
  <si>
    <t>23</t>
  </si>
  <si>
    <t>24</t>
  </si>
  <si>
    <t>25-27</t>
  </si>
  <si>
    <t>28-29</t>
  </si>
  <si>
    <t>30-32</t>
  </si>
  <si>
    <t>33-35</t>
  </si>
  <si>
    <t>36-37</t>
  </si>
  <si>
    <t>38-40</t>
  </si>
  <si>
    <t>Summer Recreation</t>
  </si>
  <si>
    <t>Capital Outlay (Equip/vehicle)</t>
  </si>
  <si>
    <t xml:space="preserve">Pool </t>
  </si>
  <si>
    <t xml:space="preserve">City of Plainview - Transfers </t>
  </si>
  <si>
    <t xml:space="preserve">journal entries </t>
  </si>
  <si>
    <t xml:space="preserve">For Journal </t>
  </si>
  <si>
    <t xml:space="preserve">IN (OUT) </t>
  </si>
  <si>
    <t xml:space="preserve">Entry </t>
  </si>
  <si>
    <t xml:space="preserve">Debit (Credit) </t>
  </si>
  <si>
    <t xml:space="preserve">General </t>
  </si>
  <si>
    <t>1000-581</t>
  </si>
  <si>
    <t>transfer out</t>
  </si>
  <si>
    <t>Fire</t>
  </si>
  <si>
    <t>3100-481</t>
  </si>
  <si>
    <t xml:space="preserve">transfer in </t>
  </si>
  <si>
    <t>Pool</t>
  </si>
  <si>
    <t>3200-481</t>
  </si>
  <si>
    <t>3900-481</t>
  </si>
  <si>
    <t xml:space="preserve">Summer Rec </t>
  </si>
  <si>
    <t>4600-481</t>
  </si>
  <si>
    <t xml:space="preserve">Parks </t>
  </si>
  <si>
    <t>4200-481</t>
  </si>
  <si>
    <t>4400-481</t>
  </si>
  <si>
    <t>To Transfer General Reserve Funds per budget</t>
  </si>
  <si>
    <t xml:space="preserve">    </t>
  </si>
  <si>
    <t>General</t>
  </si>
  <si>
    <t>1000-481</t>
  </si>
  <si>
    <t>Street</t>
  </si>
  <si>
    <t>2100-481</t>
  </si>
  <si>
    <t xml:space="preserve">transfer out </t>
  </si>
  <si>
    <t>2600-581</t>
  </si>
  <si>
    <t>Electric</t>
  </si>
  <si>
    <t>2800-581</t>
  </si>
  <si>
    <t>To transfer surplus funds from Water and Electric to various funds per budget</t>
  </si>
  <si>
    <t xml:space="preserve">The offset to each of these entries per fund should be posted to the Checking acct for each fund. </t>
  </si>
  <si>
    <t>E.g. General #1000-102</t>
  </si>
  <si>
    <t>Transfers between checking accounts:</t>
  </si>
  <si>
    <t>Electric Fund to Combined Rev Bond Acct:</t>
  </si>
  <si>
    <t>per month</t>
  </si>
  <si>
    <t xml:space="preserve">The bond payment should be paid from the bond payment account and posted to the </t>
  </si>
  <si>
    <t xml:space="preserve">Electric Fund as an expense.  </t>
  </si>
  <si>
    <t>The net entry on your books should be a credit to Electric Cash #2800-102</t>
  </si>
  <si>
    <t>and a debit to Bond payment account Cash # 2800-122.</t>
  </si>
  <si>
    <t xml:space="preserve">When the bond is paid from #2800-122 you then debit the principal and interest accounts.  </t>
  </si>
  <si>
    <t>Electric Fund to Elec. System Sinking Acct:</t>
  </si>
  <si>
    <t xml:space="preserve">Entry should be a credit to Electric Cash #2800-102 </t>
  </si>
  <si>
    <t xml:space="preserve">and a debit to #2800-141.  </t>
  </si>
  <si>
    <t>NOTE:  The Debt Service Reserve Account requires $650/month until the balance of the account</t>
  </si>
  <si>
    <t>is $38,554.  Since the balance on this account is higher, you do not need to transfer any money</t>
  </si>
  <si>
    <t xml:space="preserve">this year unless you have spent this account down.  </t>
  </si>
  <si>
    <t>(The old bond required $2,000/mo, but the new bonds do not)</t>
  </si>
  <si>
    <t>C &amp; D Fund to Postclosure Acct:</t>
  </si>
  <si>
    <t>total for</t>
  </si>
  <si>
    <t xml:space="preserve">(I assume you haven't been notified to increase this)  </t>
  </si>
  <si>
    <t>The net entry to record will be a credit to #3400-102</t>
  </si>
  <si>
    <t xml:space="preserve">and a debit to #3400-108.  </t>
  </si>
  <si>
    <t>4100-481</t>
  </si>
  <si>
    <t>(25000+10822)/12 =</t>
  </si>
  <si>
    <t>Machinery/Equipment</t>
  </si>
  <si>
    <t xml:space="preserve">Fund Balance Forward </t>
  </si>
  <si>
    <t xml:space="preserve">DIFF to Worksheet </t>
  </si>
  <si>
    <t>P</t>
  </si>
  <si>
    <t>I</t>
  </si>
  <si>
    <t>p</t>
  </si>
  <si>
    <t>i</t>
  </si>
  <si>
    <t xml:space="preserve">total </t>
  </si>
  <si>
    <t xml:space="preserve">NH </t>
  </si>
  <si>
    <t xml:space="preserve">Beg cash </t>
  </si>
  <si>
    <t xml:space="preserve">Charge Service </t>
  </si>
  <si>
    <t xml:space="preserve">Interest </t>
  </si>
  <si>
    <t xml:space="preserve">Other </t>
  </si>
  <si>
    <t xml:space="preserve">Operating </t>
  </si>
  <si>
    <t xml:space="preserve">Prn </t>
  </si>
  <si>
    <t xml:space="preserve">diff to bal </t>
  </si>
  <si>
    <t>sales tax</t>
  </si>
  <si>
    <t xml:space="preserve">Worksheet from their budget estimates </t>
  </si>
  <si>
    <t xml:space="preserve">capital </t>
  </si>
  <si>
    <t xml:space="preserve">Transfers OFF </t>
  </si>
  <si>
    <t xml:space="preserve">Insurance adjustment </t>
  </si>
  <si>
    <t>Insurance Adjustment</t>
  </si>
  <si>
    <t>electric distribution</t>
  </si>
  <si>
    <t>tranfers out</t>
  </si>
  <si>
    <t>Insurance adjustment</t>
  </si>
  <si>
    <t>Payroll Taxes &amp; Pension</t>
  </si>
  <si>
    <t>NSF Checks</t>
  </si>
  <si>
    <t>HANDI-BUS BUDGET</t>
  </si>
  <si>
    <t>Training</t>
  </si>
  <si>
    <t xml:space="preserve">Wage adjustment  </t>
  </si>
  <si>
    <t>Handibus</t>
  </si>
  <si>
    <t>Present Salary</t>
  </si>
  <si>
    <t>HANDIBUS</t>
  </si>
  <si>
    <t>Machinery, Equipment</t>
  </si>
  <si>
    <t>Grants(State)/Handibus Revenue</t>
  </si>
  <si>
    <t xml:space="preserve">                2011-2012 budget</t>
  </si>
  <si>
    <t xml:space="preserve">  FRANCHISE FEES</t>
  </si>
  <si>
    <t>Transfer Revenue In</t>
  </si>
  <si>
    <t>grader</t>
  </si>
  <si>
    <t>skid</t>
  </si>
  <si>
    <t>twin axle</t>
  </si>
  <si>
    <t>plow</t>
  </si>
  <si>
    <t>Machinery</t>
  </si>
  <si>
    <t>Bank note</t>
  </si>
  <si>
    <t>Machinery, equipment</t>
  </si>
  <si>
    <t>Solid Waste</t>
  </si>
  <si>
    <t>truck, payloader</t>
  </si>
  <si>
    <t>Machinery &amp; Misc.</t>
  </si>
  <si>
    <t>xxxxxxxx</t>
  </si>
  <si>
    <t>City Economic Coordinator</t>
  </si>
  <si>
    <t xml:space="preserve"> Misc.</t>
  </si>
  <si>
    <t>C&amp;D site operator 2012-13</t>
  </si>
  <si>
    <t xml:space="preserve">estimated at 15%  </t>
  </si>
  <si>
    <t>Assistant  Librarians (1)</t>
  </si>
  <si>
    <t>Meter sales @ 8%</t>
  </si>
  <si>
    <t>2.5% increase in wage</t>
  </si>
  <si>
    <t>Sewer</t>
  </si>
  <si>
    <t xml:space="preserve"> HOME</t>
  </si>
  <si>
    <t>3500-581</t>
  </si>
  <si>
    <t>ECONOMIC DEVELOPMENT FUND BUDGET</t>
  </si>
  <si>
    <t xml:space="preserve">  ECONOMIC DEVELOPMENT BUDGET</t>
  </si>
  <si>
    <t>Economic Director</t>
  </si>
  <si>
    <t>fees, permits &amp; licenses</t>
  </si>
  <si>
    <t>3.0% wage adjustment</t>
  </si>
  <si>
    <t>Payroll taxes based upon .0765</t>
  </si>
  <si>
    <t>Operating/garbage</t>
  </si>
  <si>
    <t>Library Sales Tax</t>
  </si>
  <si>
    <t>Manor Sales Tax</t>
  </si>
  <si>
    <t>Economic Dev. Sales Tax</t>
  </si>
  <si>
    <t>Equipment &amp; Capital Needs</t>
  </si>
  <si>
    <t>Economic Dev Sales Tax</t>
  </si>
  <si>
    <t>Grant funds</t>
  </si>
  <si>
    <t xml:space="preserve"> GRANTS</t>
  </si>
  <si>
    <t>Fees, Permits, Licenses</t>
  </si>
  <si>
    <t>(less expenditures)</t>
  </si>
  <si>
    <t>3rd fulltime officer</t>
  </si>
  <si>
    <t xml:space="preserve">Hospital Sale </t>
  </si>
  <si>
    <t>Salaries/Intern</t>
  </si>
  <si>
    <t>10-1-14</t>
  </si>
  <si>
    <t>Grant Funds</t>
  </si>
  <si>
    <t>9-30-15</t>
  </si>
  <si>
    <t>Deputy Clerk/PT</t>
  </si>
  <si>
    <t>xxxxxxxxxx</t>
  </si>
  <si>
    <t>2.73% on new car purchase</t>
  </si>
  <si>
    <t>14-15</t>
  </si>
  <si>
    <t xml:space="preserve">Water Sales </t>
  </si>
  <si>
    <t>Pension is based upon 5%</t>
  </si>
  <si>
    <t>2015</t>
  </si>
  <si>
    <t xml:space="preserve"> Truck &amp; Trailer</t>
  </si>
  <si>
    <t>Truck &amp; Trailer</t>
  </si>
  <si>
    <t>including H SA</t>
  </si>
  <si>
    <t xml:space="preserve">current estimate  </t>
  </si>
  <si>
    <t xml:space="preserve">  RETAIL SALES TAX - MANOR/LIB</t>
  </si>
  <si>
    <t>10-1-15</t>
  </si>
  <si>
    <t>9-30-16</t>
  </si>
  <si>
    <t xml:space="preserve">                2015-2016 budget</t>
  </si>
  <si>
    <t xml:space="preserve">                  2015-2016 Budget</t>
  </si>
  <si>
    <t xml:space="preserve">                 2015-2016 budget</t>
  </si>
  <si>
    <t xml:space="preserve">              2015-2016 budget</t>
  </si>
  <si>
    <t xml:space="preserve">                       2015-2016 budget</t>
  </si>
  <si>
    <t xml:space="preserve">                      2015-2016 budget</t>
  </si>
  <si>
    <t xml:space="preserve">Approve these in early 15-16 and make in next year with </t>
  </si>
  <si>
    <t>15-16</t>
  </si>
  <si>
    <t>Housing Grant</t>
  </si>
  <si>
    <t>telephone</t>
  </si>
  <si>
    <t>Additional hours</t>
  </si>
  <si>
    <t>12% increase speculated</t>
  </si>
  <si>
    <t>Salary</t>
  </si>
  <si>
    <t xml:space="preserve">Wage adjustment   </t>
  </si>
  <si>
    <t>Children's Librarian</t>
  </si>
  <si>
    <t>LB840 DEVELOPMENT FUND BUDGET</t>
  </si>
  <si>
    <t>overtime at 25 hours</t>
  </si>
  <si>
    <t xml:space="preserve">overtime  </t>
  </si>
  <si>
    <t>LB840 Funds</t>
  </si>
  <si>
    <t>LB840</t>
  </si>
  <si>
    <t>Overtime ($35.46)</t>
  </si>
  <si>
    <t>city rec, handivan,parks,library</t>
  </si>
  <si>
    <t>Sewer Fees</t>
  </si>
  <si>
    <t>Sales taxes estimated</t>
  </si>
  <si>
    <t>OLD LIBRARY</t>
  </si>
  <si>
    <t>OLD</t>
  </si>
  <si>
    <t>10-1-16</t>
  </si>
  <si>
    <t>9-30-17</t>
  </si>
  <si>
    <t>Debt Service - Street (G.O. Bonds)</t>
  </si>
  <si>
    <t>City of Plainview Tax Request and Levy Summary 16-17</t>
  </si>
  <si>
    <t>COLA 3%</t>
  </si>
  <si>
    <t>Flexible Hours</t>
  </si>
  <si>
    <t>COLA @ 3%</t>
  </si>
  <si>
    <t>Eqipment other than new car</t>
  </si>
  <si>
    <t>1 FTE at $9.00/40/14</t>
  </si>
  <si>
    <t>PT Employees</t>
  </si>
  <si>
    <t xml:space="preserve">City Superintendant  </t>
  </si>
  <si>
    <t>Calculated at .0765%</t>
  </si>
  <si>
    <t>Capital Outlay (C&amp;D opening)</t>
  </si>
  <si>
    <t xml:space="preserve">Deputy Clerk/Melissa </t>
  </si>
  <si>
    <t>Old library retirement</t>
  </si>
  <si>
    <t>Present salary $12.40 X 1872</t>
  </si>
  <si>
    <t>Present salary $9.55 X 1200</t>
  </si>
  <si>
    <t>Present salary 9.55 X 384</t>
  </si>
  <si>
    <t>adjusted with 12% increase</t>
  </si>
  <si>
    <t>building</t>
  </si>
  <si>
    <t>Gas, repair, snow removal, tarring</t>
  </si>
  <si>
    <t>Black Hills</t>
  </si>
  <si>
    <t>Street Bond Assessment payments</t>
  </si>
  <si>
    <t>Street Bond Revenue</t>
  </si>
  <si>
    <t>G.O. Bond Assessment Payments</t>
  </si>
  <si>
    <t xml:space="preserve">3% COLA </t>
  </si>
  <si>
    <t>3% COLA</t>
  </si>
  <si>
    <t>Overtime estimate (100 hr.s at $25.86)</t>
  </si>
  <si>
    <t>On Call time for 5 weekends ($120)</t>
  </si>
  <si>
    <t>$3 COLA</t>
  </si>
  <si>
    <t xml:space="preserve">Rollie Cederburg (1/4)  </t>
  </si>
  <si>
    <t>sewer rehabilitation</t>
  </si>
  <si>
    <t>On Call (5 weeks at $120)</t>
  </si>
  <si>
    <t>On Call 5 weeks</t>
  </si>
  <si>
    <t>Transfers in</t>
  </si>
  <si>
    <t>2016-2017 BUDGET SUMMARY</t>
  </si>
  <si>
    <t>BUDGET 2016-2017</t>
  </si>
  <si>
    <t>COLA 4%</t>
  </si>
  <si>
    <t>new mower</t>
  </si>
  <si>
    <t>COLA 3.5%</t>
  </si>
  <si>
    <t>29.85 X 50 hours</t>
  </si>
  <si>
    <t>3.5% wage adjustment</t>
  </si>
  <si>
    <t>Overtime ($27.13 X 50)</t>
  </si>
  <si>
    <t>water line and fire hydrants</t>
  </si>
  <si>
    <t>closed out hosital account</t>
  </si>
  <si>
    <t>cell closure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</si>
</sst>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00_)"/>
    <numFmt numFmtId="166" formatCode="#,##0.000000_);\(#,##0.000000\)"/>
    <numFmt numFmtId="167" formatCode="#,##0.00000_);\(#,##0.00000\)"/>
    <numFmt numFmtId="168" formatCode="General_)"/>
    <numFmt numFmtId="169" formatCode="0.0%"/>
    <numFmt numFmtId="170" formatCode="_(* #,##0_);_(* \(#,##0\);_(* &quot;-&quot;??_);_(@_)"/>
    <numFmt numFmtId="171" formatCode="0.000%"/>
    <numFmt numFmtId="172" formatCode="_(&quot;$&quot;* #,##0_);_(&quot;$&quot;* \(#,##0\);_(&quot;$&quot;* &quot;-&quot;??_);_(@_)"/>
    <numFmt numFmtId="173" formatCode="#,##0.0_);\(#,##0.0\)"/>
    <numFmt numFmtId="174" formatCode="#,##0.00000000000_);\(#,##0.00000000000\)"/>
    <numFmt numFmtId="175" formatCode="0_);\(0\)"/>
  </numFmts>
  <fonts count="6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u val="doubleAccounting"/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Courier"/>
      <family val="0"/>
    </font>
    <font>
      <b/>
      <u val="double"/>
      <sz val="10"/>
      <name val="Times New Roman"/>
      <family val="1"/>
    </font>
    <font>
      <u val="double"/>
      <sz val="10"/>
      <name val="Times New Roman"/>
      <family val="1"/>
    </font>
    <font>
      <u val="doubleAccounting"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37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6">
    <xf numFmtId="37" fontId="0" fillId="0" borderId="0" xfId="0" applyAlignment="1">
      <alignment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Alignment="1">
      <alignment/>
    </xf>
    <xf numFmtId="37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Alignment="1">
      <alignment/>
    </xf>
    <xf numFmtId="37" fontId="7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>
      <alignment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>
      <alignment horizontal="left"/>
    </xf>
    <xf numFmtId="37" fontId="2" fillId="0" borderId="0" xfId="0" applyNumberFormat="1" applyFont="1" applyFill="1" applyAlignment="1" applyProtection="1" quotePrefix="1">
      <alignment horizontal="left"/>
      <protection/>
    </xf>
    <xf numFmtId="37" fontId="2" fillId="0" borderId="0" xfId="0" applyFont="1" applyFill="1" applyAlignment="1">
      <alignment horizontal="center"/>
    </xf>
    <xf numFmtId="37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/>
      <protection/>
    </xf>
    <xf numFmtId="37" fontId="5" fillId="0" borderId="0" xfId="0" applyFont="1" applyFill="1" applyAlignment="1">
      <alignment/>
    </xf>
    <xf numFmtId="37" fontId="5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/>
    </xf>
    <xf numFmtId="37" fontId="2" fillId="0" borderId="0" xfId="0" applyNumberFormat="1" applyFont="1" applyFill="1" applyAlignment="1" applyProtection="1">
      <alignment/>
      <protection locked="0"/>
    </xf>
    <xf numFmtId="37" fontId="2" fillId="0" borderId="0" xfId="0" applyFont="1" applyFill="1" applyAlignment="1" applyProtection="1">
      <alignment/>
      <protection locked="0"/>
    </xf>
    <xf numFmtId="37" fontId="7" fillId="0" borderId="0" xfId="0" applyNumberFormat="1" applyFont="1" applyFill="1" applyAlignment="1" applyProtection="1">
      <alignment/>
      <protection locked="0"/>
    </xf>
    <xf numFmtId="37" fontId="2" fillId="0" borderId="0" xfId="0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/>
      <protection locked="0"/>
    </xf>
    <xf numFmtId="37" fontId="10" fillId="0" borderId="0" xfId="0" applyNumberFormat="1" applyFont="1" applyFill="1" applyAlignment="1" applyProtection="1">
      <alignment/>
      <protection/>
    </xf>
    <xf numFmtId="37" fontId="10" fillId="0" borderId="0" xfId="0" applyFont="1" applyFill="1" applyAlignment="1" applyProtection="1">
      <alignment/>
      <protection/>
    </xf>
    <xf numFmtId="37" fontId="5" fillId="0" borderId="0" xfId="0" applyFont="1" applyFill="1" applyAlignment="1" applyProtection="1">
      <alignment/>
      <protection/>
    </xf>
    <xf numFmtId="37" fontId="11" fillId="0" borderId="0" xfId="0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 locked="0"/>
    </xf>
    <xf numFmtId="37" fontId="7" fillId="0" borderId="0" xfId="0" applyFont="1" applyFill="1" applyAlignment="1" applyProtection="1">
      <alignment/>
      <protection/>
    </xf>
    <xf numFmtId="37" fontId="0" fillId="0" borderId="0" xfId="0" applyFill="1" applyAlignment="1" applyProtection="1">
      <alignment/>
      <protection/>
    </xf>
    <xf numFmtId="37" fontId="0" fillId="0" borderId="0" xfId="0" applyFill="1" applyAlignment="1" applyProtection="1">
      <alignment/>
      <protection locked="0"/>
    </xf>
    <xf numFmtId="37" fontId="2" fillId="0" borderId="0" xfId="0" applyNumberFormat="1" applyFont="1" applyFill="1" applyAlignment="1" applyProtection="1">
      <alignment horizontal="center"/>
      <protection locked="0"/>
    </xf>
    <xf numFmtId="37" fontId="2" fillId="0" borderId="0" xfId="0" applyNumberFormat="1" applyFont="1" applyFill="1" applyAlignment="1" applyProtection="1" quotePrefix="1">
      <alignment/>
      <protection locked="0"/>
    </xf>
    <xf numFmtId="37" fontId="9" fillId="0" borderId="0" xfId="0" applyFont="1" applyFill="1" applyAlignment="1">
      <alignment horizontal="center"/>
    </xf>
    <xf numFmtId="37" fontId="7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quotePrefix="1">
      <alignment horizontal="right"/>
    </xf>
    <xf numFmtId="167" fontId="2" fillId="0" borderId="0" xfId="0" applyNumberFormat="1" applyFont="1" applyFill="1" applyAlignment="1">
      <alignment horizontal="right"/>
    </xf>
    <xf numFmtId="169" fontId="2" fillId="0" borderId="0" xfId="62" applyNumberFormat="1" applyFont="1" applyFill="1" applyAlignment="1">
      <alignment horizontal="right"/>
    </xf>
    <xf numFmtId="37" fontId="2" fillId="0" borderId="0" xfId="0" applyFont="1" applyFill="1" applyAlignment="1">
      <alignment horizontal="right"/>
    </xf>
    <xf numFmtId="9" fontId="2" fillId="0" borderId="0" xfId="62" applyFont="1" applyFill="1" applyAlignment="1">
      <alignment horizontal="right"/>
    </xf>
    <xf numFmtId="37" fontId="7" fillId="0" borderId="0" xfId="0" applyNumberFormat="1" applyFont="1" applyFill="1" applyAlignment="1" applyProtection="1">
      <alignment horizontal="center"/>
      <protection/>
    </xf>
    <xf numFmtId="37" fontId="2" fillId="0" borderId="0" xfId="59" applyNumberFormat="1" applyFont="1" applyFill="1" applyProtection="1">
      <alignment/>
      <protection locked="0"/>
    </xf>
    <xf numFmtId="37" fontId="7" fillId="0" borderId="0" xfId="59" applyNumberFormat="1" applyFont="1" applyFill="1" applyProtection="1">
      <alignment/>
      <protection locked="0"/>
    </xf>
    <xf numFmtId="0" fontId="2" fillId="0" borderId="0" xfId="59" applyFont="1" applyFill="1" applyProtection="1">
      <alignment/>
      <protection locked="0"/>
    </xf>
    <xf numFmtId="0" fontId="3" fillId="0" borderId="0" xfId="59" applyFont="1" applyFill="1" applyProtection="1">
      <alignment/>
      <protection locked="0"/>
    </xf>
    <xf numFmtId="37" fontId="6" fillId="0" borderId="0" xfId="0" applyNumberFormat="1" applyFont="1" applyFill="1" applyAlignment="1" applyProtection="1">
      <alignment/>
      <protection locked="0"/>
    </xf>
    <xf numFmtId="166" fontId="2" fillId="0" borderId="0" xfId="0" applyNumberFormat="1" applyFont="1" applyFill="1" applyAlignment="1" applyProtection="1">
      <alignment/>
      <protection locked="0"/>
    </xf>
    <xf numFmtId="37" fontId="7" fillId="0" borderId="0" xfId="0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>
      <alignment/>
      <protection locked="0"/>
    </xf>
    <xf numFmtId="37" fontId="18" fillId="0" borderId="0" xfId="0" applyNumberFormat="1" applyFont="1" applyFill="1" applyAlignment="1" applyProtection="1">
      <alignment/>
      <protection locked="0"/>
    </xf>
    <xf numFmtId="37" fontId="19" fillId="0" borderId="0" xfId="0" applyNumberFormat="1" applyFont="1" applyFill="1" applyAlignment="1" applyProtection="1">
      <alignment/>
      <protection locked="0"/>
    </xf>
    <xf numFmtId="37" fontId="18" fillId="0" borderId="0" xfId="0" applyFont="1" applyFill="1" applyAlignment="1" applyProtection="1">
      <alignment/>
      <protection locked="0"/>
    </xf>
    <xf numFmtId="37" fontId="7" fillId="0" borderId="0" xfId="0" applyNumberFormat="1" applyFont="1" applyFill="1" applyAlignment="1" applyProtection="1">
      <alignment horizontal="left"/>
      <protection locked="0"/>
    </xf>
    <xf numFmtId="37" fontId="2" fillId="0" borderId="0" xfId="0" applyNumberFormat="1" applyFont="1" applyFill="1" applyAlignment="1" applyProtection="1" quotePrefix="1">
      <alignment horizontal="center"/>
      <protection locked="0"/>
    </xf>
    <xf numFmtId="37" fontId="2" fillId="0" borderId="0" xfId="59" applyNumberFormat="1" applyFont="1" applyFill="1" applyAlignment="1" applyProtection="1">
      <alignment horizontal="left"/>
      <protection locked="0"/>
    </xf>
    <xf numFmtId="0" fontId="2" fillId="0" borderId="0" xfId="59" applyFont="1" applyFill="1" applyAlignment="1" applyProtection="1">
      <alignment horizontal="right"/>
      <protection locked="0"/>
    </xf>
    <xf numFmtId="0" fontId="14" fillId="0" borderId="0" xfId="59" applyFont="1" applyFill="1" applyProtection="1">
      <alignment/>
      <protection locked="0"/>
    </xf>
    <xf numFmtId="37" fontId="2" fillId="0" borderId="0" xfId="59" applyNumberFormat="1" applyFont="1" applyFill="1" applyAlignment="1" applyProtection="1">
      <alignment horizontal="right"/>
      <protection locked="0"/>
    </xf>
    <xf numFmtId="3" fontId="2" fillId="0" borderId="0" xfId="59" applyNumberFormat="1" applyFont="1" applyFill="1" applyAlignment="1" applyProtection="1">
      <alignment horizontal="right"/>
      <protection locked="0"/>
    </xf>
    <xf numFmtId="37" fontId="7" fillId="0" borderId="0" xfId="59" applyNumberFormat="1" applyFont="1" applyFill="1" applyAlignment="1" applyProtection="1">
      <alignment horizontal="right"/>
      <protection locked="0"/>
    </xf>
    <xf numFmtId="0" fontId="7" fillId="0" borderId="0" xfId="59" applyFont="1" applyFill="1" applyProtection="1">
      <alignment/>
      <protection locked="0"/>
    </xf>
    <xf numFmtId="37" fontId="3" fillId="0" borderId="0" xfId="0" applyFont="1" applyFill="1" applyAlignment="1" applyProtection="1">
      <alignment/>
      <protection locked="0"/>
    </xf>
    <xf numFmtId="37" fontId="5" fillId="0" borderId="0" xfId="0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 locked="0"/>
    </xf>
    <xf numFmtId="37" fontId="7" fillId="0" borderId="0" xfId="0" applyFont="1" applyFill="1" applyBorder="1" applyAlignment="1" applyProtection="1">
      <alignment/>
      <protection locked="0"/>
    </xf>
    <xf numFmtId="37" fontId="2" fillId="0" borderId="0" xfId="0" applyNumberFormat="1" applyFont="1" applyFill="1" applyBorder="1" applyAlignment="1" applyProtection="1">
      <alignment/>
      <protection locked="0"/>
    </xf>
    <xf numFmtId="37" fontId="2" fillId="0" borderId="0" xfId="0" applyFont="1" applyFill="1" applyBorder="1" applyAlignment="1" applyProtection="1">
      <alignment/>
      <protection locked="0"/>
    </xf>
    <xf numFmtId="37" fontId="2" fillId="0" borderId="0" xfId="0" applyNumberFormat="1" applyFont="1" applyFill="1" applyBorder="1" applyAlignment="1" applyProtection="1" quotePrefix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9" fontId="2" fillId="0" borderId="0" xfId="62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right"/>
      <protection/>
    </xf>
    <xf numFmtId="37" fontId="7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8" fillId="0" borderId="0" xfId="0" applyFont="1" applyFill="1" applyBorder="1" applyAlignment="1" applyProtection="1">
      <alignment/>
      <protection/>
    </xf>
    <xf numFmtId="37" fontId="8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right"/>
      <protection locked="0"/>
    </xf>
    <xf numFmtId="37" fontId="7" fillId="0" borderId="0" xfId="0" applyNumberFormat="1" applyFont="1" applyFill="1" applyAlignment="1" applyProtection="1">
      <alignment horizontal="right"/>
      <protection/>
    </xf>
    <xf numFmtId="37" fontId="8" fillId="0" borderId="0" xfId="0" applyNumberFormat="1" applyFont="1" applyFill="1" applyAlignment="1" applyProtection="1">
      <alignment/>
      <protection locked="0"/>
    </xf>
    <xf numFmtId="37" fontId="2" fillId="0" borderId="0" xfId="0" applyNumberFormat="1" applyFont="1" applyFill="1" applyAlignment="1" applyProtection="1">
      <alignment horizontal="right"/>
      <protection/>
    </xf>
    <xf numFmtId="41" fontId="2" fillId="0" borderId="0" xfId="0" applyNumberFormat="1" applyFont="1" applyFill="1" applyAlignment="1">
      <alignment horizontal="center"/>
    </xf>
    <xf numFmtId="49" fontId="2" fillId="0" borderId="0" xfId="58" applyNumberFormat="1" applyFont="1" applyFill="1">
      <alignment/>
      <protection/>
    </xf>
    <xf numFmtId="49" fontId="2" fillId="0" borderId="0" xfId="58" applyNumberFormat="1" applyFont="1" applyFill="1" applyAlignment="1">
      <alignment horizontal="left"/>
      <protection/>
    </xf>
    <xf numFmtId="49" fontId="9" fillId="0" borderId="0" xfId="58" applyNumberFormat="1" applyFont="1" applyFill="1" applyAlignment="1" applyProtection="1">
      <alignment horizontal="left"/>
      <protection/>
    </xf>
    <xf numFmtId="49" fontId="9" fillId="0" borderId="0" xfId="58" applyNumberFormat="1" applyFont="1" applyFill="1">
      <alignment/>
      <protection/>
    </xf>
    <xf numFmtId="49" fontId="2" fillId="0" borderId="0" xfId="58" applyNumberFormat="1" applyFont="1" applyFill="1" applyAlignment="1" applyProtection="1">
      <alignment horizontal="left"/>
      <protection/>
    </xf>
    <xf numFmtId="49" fontId="9" fillId="0" borderId="0" xfId="58" applyNumberFormat="1" applyFont="1" applyFill="1" applyAlignment="1" applyProtection="1" quotePrefix="1">
      <alignment horizontal="left"/>
      <protection/>
    </xf>
    <xf numFmtId="49" fontId="2" fillId="0" borderId="0" xfId="58" applyNumberFormat="1" applyFont="1" applyFill="1" applyProtection="1">
      <alignment/>
      <protection/>
    </xf>
    <xf numFmtId="49" fontId="15" fillId="0" borderId="0" xfId="58" applyNumberFormat="1" applyFont="1" applyFill="1">
      <alignment/>
      <protection/>
    </xf>
    <xf numFmtId="49" fontId="15" fillId="0" borderId="0" xfId="58" applyNumberFormat="1" applyFont="1" applyFill="1" applyAlignment="1" applyProtection="1">
      <alignment horizontal="left"/>
      <protection/>
    </xf>
    <xf numFmtId="49" fontId="16" fillId="0" borderId="0" xfId="58" applyNumberFormat="1" applyFont="1" applyFill="1">
      <alignment/>
      <protection/>
    </xf>
    <xf numFmtId="49" fontId="17" fillId="0" borderId="0" xfId="58" applyNumberFormat="1" applyFont="1" applyFill="1">
      <alignment/>
      <protection/>
    </xf>
    <xf numFmtId="49" fontId="17" fillId="0" borderId="0" xfId="58" applyNumberFormat="1" applyFont="1" applyFill="1" applyAlignment="1" applyProtection="1">
      <alignment horizontal="left"/>
      <protection/>
    </xf>
    <xf numFmtId="49" fontId="17" fillId="0" borderId="0" xfId="58" applyNumberFormat="1" applyFont="1" applyFill="1" applyProtection="1">
      <alignment/>
      <protection/>
    </xf>
    <xf numFmtId="49" fontId="17" fillId="0" borderId="0" xfId="58" applyNumberFormat="1" applyFont="1" applyFill="1" applyAlignment="1">
      <alignment horizontal="left"/>
      <protection/>
    </xf>
    <xf numFmtId="49" fontId="16" fillId="0" borderId="0" xfId="58" applyNumberFormat="1" applyFont="1" applyFill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/>
      <protection locked="0"/>
    </xf>
    <xf numFmtId="37" fontId="7" fillId="0" borderId="0" xfId="59" applyNumberFormat="1" applyFont="1" applyFill="1" applyAlignment="1" applyProtection="1">
      <alignment horizontal="left"/>
      <protection locked="0"/>
    </xf>
    <xf numFmtId="0" fontId="7" fillId="0" borderId="0" xfId="59" applyFont="1" applyFill="1" applyAlignment="1" applyProtection="1" quotePrefix="1">
      <alignment horizontal="left"/>
      <protection locked="0"/>
    </xf>
    <xf numFmtId="171" fontId="2" fillId="0" borderId="0" xfId="62" applyNumberFormat="1" applyFont="1" applyFill="1" applyAlignment="1">
      <alignment/>
    </xf>
    <xf numFmtId="9" fontId="11" fillId="0" borderId="0" xfId="62" applyFont="1" applyFill="1" applyAlignment="1" applyProtection="1">
      <alignment/>
      <protection/>
    </xf>
    <xf numFmtId="41" fontId="4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Alignment="1" quotePrefix="1">
      <alignment vertical="center"/>
    </xf>
    <xf numFmtId="41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 applyProtection="1">
      <alignment horizontal="right"/>
      <protection locked="0"/>
    </xf>
    <xf numFmtId="37" fontId="2" fillId="0" borderId="0" xfId="0" applyFont="1" applyFill="1" applyAlignment="1" applyProtection="1">
      <alignment/>
      <protection locked="0"/>
    </xf>
    <xf numFmtId="37" fontId="0" fillId="0" borderId="0" xfId="0" applyFont="1" applyFill="1" applyAlignment="1" applyProtection="1">
      <alignment horizontal="right"/>
      <protection locked="0"/>
    </xf>
    <xf numFmtId="37" fontId="5" fillId="0" borderId="0" xfId="0" applyNumberFormat="1" applyFont="1" applyFill="1" applyAlignment="1" applyProtection="1">
      <alignment horizontal="right"/>
      <protection/>
    </xf>
    <xf numFmtId="37" fontId="8" fillId="0" borderId="0" xfId="0" applyNumberFormat="1" applyFont="1" applyFill="1" applyAlignment="1" applyProtection="1">
      <alignment horizontal="right"/>
      <protection/>
    </xf>
    <xf numFmtId="3" fontId="7" fillId="0" borderId="0" xfId="59" applyNumberFormat="1" applyFont="1" applyFill="1" applyAlignment="1" applyProtection="1">
      <alignment horizontal="right"/>
      <protection locked="0"/>
    </xf>
    <xf numFmtId="37" fontId="5" fillId="0" borderId="0" xfId="59" applyNumberFormat="1" applyFont="1" applyFill="1" applyAlignment="1" applyProtection="1">
      <alignment horizontal="right"/>
      <protection locked="0"/>
    </xf>
    <xf numFmtId="0" fontId="7" fillId="0" borderId="0" xfId="59" applyFont="1" applyFill="1" applyAlignment="1" applyProtection="1">
      <alignment horizontal="right"/>
      <protection locked="0"/>
    </xf>
    <xf numFmtId="164" fontId="2" fillId="0" borderId="0" xfId="59" applyNumberFormat="1" applyFont="1" applyFill="1" applyAlignment="1" applyProtection="1">
      <alignment horizontal="right"/>
      <protection locked="0"/>
    </xf>
    <xf numFmtId="170" fontId="2" fillId="0" borderId="0" xfId="42" applyNumberFormat="1" applyFont="1" applyFill="1" applyAlignment="1" applyProtection="1">
      <alignment horizontal="right"/>
      <protection locked="0"/>
    </xf>
    <xf numFmtId="37" fontId="0" fillId="0" borderId="0" xfId="0" applyFill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Alignment="1" applyProtection="1">
      <alignment horizontal="right"/>
      <protection locked="0"/>
    </xf>
    <xf numFmtId="166" fontId="2" fillId="0" borderId="0" xfId="0" applyNumberFormat="1" applyFont="1" applyFill="1" applyAlignment="1">
      <alignment/>
    </xf>
    <xf numFmtId="37" fontId="7" fillId="0" borderId="0" xfId="0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 horizontal="right"/>
      <protection locked="0"/>
    </xf>
    <xf numFmtId="37" fontId="0" fillId="0" borderId="0" xfId="0" applyAlignment="1">
      <alignment horizontal="center"/>
    </xf>
    <xf numFmtId="37" fontId="22" fillId="0" borderId="0" xfId="0" applyFont="1" applyFill="1" applyAlignment="1" applyProtection="1">
      <alignment/>
      <protection/>
    </xf>
    <xf numFmtId="37" fontId="23" fillId="0" borderId="0" xfId="0" applyNumberFormat="1" applyFont="1" applyFill="1" applyAlignment="1" applyProtection="1">
      <alignment/>
      <protection/>
    </xf>
    <xf numFmtId="37" fontId="23" fillId="0" borderId="0" xfId="0" applyNumberFormat="1" applyFont="1" applyFill="1" applyAlignment="1" applyProtection="1">
      <alignment horizontal="right"/>
      <protection/>
    </xf>
    <xf numFmtId="37" fontId="2" fillId="0" borderId="0" xfId="0" applyFont="1" applyFill="1" applyAlignment="1" applyProtection="1">
      <alignment horizontal="left"/>
      <protection/>
    </xf>
    <xf numFmtId="37" fontId="6" fillId="0" borderId="0" xfId="0" applyNumberFormat="1" applyFont="1" applyFill="1" applyAlignment="1" applyProtection="1">
      <alignment/>
      <protection/>
    </xf>
    <xf numFmtId="37" fontId="24" fillId="0" borderId="0" xfId="0" applyNumberFormat="1" applyFont="1" applyFill="1" applyAlignment="1" applyProtection="1">
      <alignment/>
      <protection locked="0"/>
    </xf>
    <xf numFmtId="41" fontId="25" fillId="0" borderId="0" xfId="0" applyNumberFormat="1" applyFont="1" applyFill="1" applyAlignment="1" applyProtection="1">
      <alignment/>
      <protection locked="0"/>
    </xf>
    <xf numFmtId="170" fontId="1" fillId="0" borderId="0" xfId="42" applyNumberFormat="1" applyFont="1" applyAlignment="1">
      <alignment/>
    </xf>
    <xf numFmtId="170" fontId="1" fillId="0" borderId="0" xfId="42" applyNumberFormat="1" applyFont="1" applyBorder="1" applyAlignment="1">
      <alignment/>
    </xf>
    <xf numFmtId="170" fontId="26" fillId="0" borderId="0" xfId="42" applyNumberFormat="1" applyFont="1" applyBorder="1" applyAlignment="1">
      <alignment/>
    </xf>
    <xf numFmtId="170" fontId="26" fillId="0" borderId="0" xfId="42" applyNumberFormat="1" applyFont="1" applyAlignment="1">
      <alignment/>
    </xf>
    <xf numFmtId="170" fontId="1" fillId="0" borderId="0" xfId="42" applyNumberFormat="1" applyFont="1" applyBorder="1" applyAlignment="1" quotePrefix="1">
      <alignment/>
    </xf>
    <xf numFmtId="170" fontId="1" fillId="0" borderId="0" xfId="42" applyNumberFormat="1" applyFont="1" applyAlignment="1" quotePrefix="1">
      <alignment/>
    </xf>
    <xf numFmtId="170" fontId="1" fillId="0" borderId="0" xfId="42" applyNumberFormat="1" applyFont="1" applyFill="1" applyBorder="1" applyAlignment="1">
      <alignment/>
    </xf>
    <xf numFmtId="170" fontId="1" fillId="0" borderId="0" xfId="42" applyNumberFormat="1" applyFont="1" applyFill="1" applyAlignment="1">
      <alignment/>
    </xf>
    <xf numFmtId="170" fontId="1" fillId="0" borderId="11" xfId="42" applyNumberFormat="1" applyFont="1" applyBorder="1" applyAlignment="1">
      <alignment/>
    </xf>
    <xf numFmtId="0" fontId="26" fillId="0" borderId="0" xfId="57" applyFont="1">
      <alignment/>
      <protection/>
    </xf>
    <xf numFmtId="0" fontId="1" fillId="0" borderId="0" xfId="57">
      <alignment/>
      <protection/>
    </xf>
    <xf numFmtId="0" fontId="1" fillId="0" borderId="0" xfId="57" applyAlignment="1" quotePrefix="1">
      <alignment horizontal="left"/>
      <protection/>
    </xf>
    <xf numFmtId="172" fontId="1" fillId="0" borderId="0" xfId="44" applyNumberFormat="1" applyFont="1" applyAlignment="1">
      <alignment/>
    </xf>
    <xf numFmtId="172" fontId="1" fillId="0" borderId="0" xfId="44" applyNumberFormat="1" applyFont="1" applyAlignment="1" quotePrefix="1">
      <alignment/>
    </xf>
    <xf numFmtId="44" fontId="1" fillId="0" borderId="0" xfId="44" applyNumberFormat="1" applyFont="1" applyAlignment="1">
      <alignment/>
    </xf>
    <xf numFmtId="37" fontId="0" fillId="0" borderId="0" xfId="0" applyAlignment="1">
      <alignment horizontal="right"/>
    </xf>
    <xf numFmtId="37" fontId="0" fillId="0" borderId="0" xfId="0" applyAlignment="1" quotePrefix="1">
      <alignment horizontal="left"/>
    </xf>
    <xf numFmtId="1" fontId="0" fillId="0" borderId="0" xfId="0" applyNumberFormat="1" applyAlignment="1">
      <alignment/>
    </xf>
    <xf numFmtId="0" fontId="1" fillId="0" borderId="0" xfId="57" applyFont="1" applyAlignment="1" quotePrefix="1">
      <alignment horizontal="left"/>
      <protection/>
    </xf>
    <xf numFmtId="37" fontId="2" fillId="33" borderId="0" xfId="0" applyNumberFormat="1" applyFont="1" applyFill="1" applyAlignment="1" applyProtection="1">
      <alignment/>
      <protection/>
    </xf>
    <xf numFmtId="37" fontId="2" fillId="33" borderId="0" xfId="0" applyFont="1" applyFill="1" applyAlignment="1" applyProtection="1">
      <alignment/>
      <protection/>
    </xf>
    <xf numFmtId="37" fontId="2" fillId="33" borderId="0" xfId="0" applyNumberFormat="1" applyFont="1" applyFill="1" applyAlignment="1" applyProtection="1">
      <alignment horizontal="right"/>
      <protection locked="0"/>
    </xf>
    <xf numFmtId="37" fontId="2" fillId="33" borderId="0" xfId="0" applyFont="1" applyFill="1" applyAlignment="1" applyProtection="1">
      <alignment/>
      <protection locked="0"/>
    </xf>
    <xf numFmtId="37" fontId="2" fillId="33" borderId="0" xfId="0" applyNumberFormat="1" applyFont="1" applyFill="1" applyAlignment="1" applyProtection="1">
      <alignment/>
      <protection locked="0"/>
    </xf>
    <xf numFmtId="37" fontId="2" fillId="33" borderId="0" xfId="0" applyFont="1" applyFill="1" applyAlignment="1">
      <alignment/>
    </xf>
    <xf numFmtId="37" fontId="5" fillId="33" borderId="0" xfId="0" applyNumberFormat="1" applyFont="1" applyFill="1" applyAlignment="1" applyProtection="1">
      <alignment/>
      <protection/>
    </xf>
    <xf numFmtId="37" fontId="0" fillId="0" borderId="0" xfId="0" applyFill="1" applyAlignment="1">
      <alignment/>
    </xf>
    <xf numFmtId="37" fontId="5" fillId="33" borderId="0" xfId="0" applyNumberFormat="1" applyFont="1" applyFill="1" applyAlignment="1" applyProtection="1">
      <alignment horizontal="right"/>
      <protection locked="0"/>
    </xf>
    <xf numFmtId="37" fontId="5" fillId="33" borderId="0" xfId="0" applyFont="1" applyFill="1" applyAlignment="1" applyProtection="1">
      <alignment/>
      <protection locked="0"/>
    </xf>
    <xf numFmtId="37" fontId="5" fillId="33" borderId="0" xfId="0" applyNumberFormat="1" applyFont="1" applyFill="1" applyAlignment="1" applyProtection="1">
      <alignment/>
      <protection locked="0"/>
    </xf>
    <xf numFmtId="37" fontId="6" fillId="33" borderId="0" xfId="0" applyNumberFormat="1" applyFont="1" applyFill="1" applyAlignment="1" applyProtection="1">
      <alignment/>
      <protection locked="0"/>
    </xf>
    <xf numFmtId="37" fontId="2" fillId="33" borderId="0" xfId="0" applyFont="1" applyFill="1" applyBorder="1" applyAlignment="1" applyProtection="1">
      <alignment/>
      <protection locked="0"/>
    </xf>
    <xf numFmtId="37" fontId="5" fillId="33" borderId="0" xfId="0" applyFont="1" applyFill="1" applyBorder="1" applyAlignment="1" applyProtection="1">
      <alignment/>
      <protection locked="0"/>
    </xf>
    <xf numFmtId="37" fontId="2" fillId="0" borderId="0" xfId="0" applyNumberFormat="1" applyFont="1" applyFill="1" applyAlignment="1" applyProtection="1">
      <alignment horizontal="left"/>
      <protection locked="0"/>
    </xf>
    <xf numFmtId="37" fontId="2" fillId="34" borderId="0" xfId="0" applyFont="1" applyFill="1" applyAlignment="1" applyProtection="1">
      <alignment/>
      <protection locked="0"/>
    </xf>
    <xf numFmtId="37" fontId="7" fillId="34" borderId="0" xfId="0" applyNumberFormat="1" applyFont="1" applyFill="1" applyAlignment="1" applyProtection="1">
      <alignment/>
      <protection/>
    </xf>
    <xf numFmtId="37" fontId="2" fillId="34" borderId="0" xfId="0" applyNumberFormat="1" applyFont="1" applyFill="1" applyAlignment="1" applyProtection="1">
      <alignment/>
      <protection locked="0"/>
    </xf>
    <xf numFmtId="37" fontId="2" fillId="34" borderId="0" xfId="0" applyFont="1" applyFill="1" applyAlignment="1">
      <alignment/>
    </xf>
    <xf numFmtId="37" fontId="5" fillId="34" borderId="0" xfId="0" applyFont="1" applyFill="1" applyAlignment="1">
      <alignment/>
    </xf>
    <xf numFmtId="37" fontId="2" fillId="0" borderId="0" xfId="0" applyFont="1" applyFill="1" applyAlignment="1" applyProtection="1" quotePrefix="1">
      <alignment/>
      <protection locked="0"/>
    </xf>
    <xf numFmtId="37" fontId="2" fillId="0" borderId="12" xfId="0" applyFont="1" applyFill="1" applyBorder="1" applyAlignment="1" applyProtection="1">
      <alignment/>
      <protection locked="0"/>
    </xf>
    <xf numFmtId="37" fontId="2" fillId="0" borderId="13" xfId="0" applyFont="1" applyFill="1" applyBorder="1" applyAlignment="1" applyProtection="1">
      <alignment/>
      <protection locked="0"/>
    </xf>
    <xf numFmtId="37" fontId="2" fillId="0" borderId="14" xfId="0" applyFont="1" applyFill="1" applyBorder="1" applyAlignment="1" applyProtection="1">
      <alignment/>
      <protection locked="0"/>
    </xf>
    <xf numFmtId="37" fontId="2" fillId="0" borderId="15" xfId="0" applyFont="1" applyFill="1" applyBorder="1" applyAlignment="1" applyProtection="1">
      <alignment/>
      <protection locked="0"/>
    </xf>
    <xf numFmtId="37" fontId="2" fillId="0" borderId="16" xfId="0" applyFont="1" applyFill="1" applyBorder="1" applyAlignment="1" applyProtection="1">
      <alignment/>
      <protection locked="0"/>
    </xf>
    <xf numFmtId="37" fontId="2" fillId="0" borderId="0" xfId="0" applyFont="1" applyFill="1" applyBorder="1" applyAlignment="1" applyProtection="1" quotePrefix="1">
      <alignment/>
      <protection locked="0"/>
    </xf>
    <xf numFmtId="37" fontId="7" fillId="0" borderId="15" xfId="0" applyFont="1" applyFill="1" applyBorder="1" applyAlignment="1" applyProtection="1">
      <alignment/>
      <protection locked="0"/>
    </xf>
    <xf numFmtId="37" fontId="7" fillId="0" borderId="16" xfId="0" applyFont="1" applyFill="1" applyBorder="1" applyAlignment="1" applyProtection="1">
      <alignment/>
      <protection locked="0"/>
    </xf>
    <xf numFmtId="37" fontId="2" fillId="0" borderId="15" xfId="0" applyNumberFormat="1" applyFont="1" applyFill="1" applyBorder="1" applyAlignment="1" applyProtection="1">
      <alignment/>
      <protection locked="0"/>
    </xf>
    <xf numFmtId="37" fontId="7" fillId="0" borderId="17" xfId="0" applyFont="1" applyFill="1" applyBorder="1" applyAlignment="1" applyProtection="1">
      <alignment/>
      <protection locked="0"/>
    </xf>
    <xf numFmtId="37" fontId="7" fillId="0" borderId="11" xfId="0" applyFont="1" applyFill="1" applyBorder="1" applyAlignment="1" applyProtection="1">
      <alignment/>
      <protection locked="0"/>
    </xf>
    <xf numFmtId="37" fontId="7" fillId="0" borderId="18" xfId="0" applyFont="1" applyFill="1" applyBorder="1" applyAlignment="1" applyProtection="1">
      <alignment/>
      <protection locked="0"/>
    </xf>
    <xf numFmtId="37" fontId="2" fillId="0" borderId="12" xfId="0" applyFont="1" applyFill="1" applyBorder="1" applyAlignment="1">
      <alignment/>
    </xf>
    <xf numFmtId="37" fontId="2" fillId="0" borderId="13" xfId="0" applyFont="1" applyFill="1" applyBorder="1" applyAlignment="1">
      <alignment/>
    </xf>
    <xf numFmtId="37" fontId="2" fillId="0" borderId="14" xfId="0" applyFont="1" applyFill="1" applyBorder="1" applyAlignment="1">
      <alignment/>
    </xf>
    <xf numFmtId="37" fontId="2" fillId="0" borderId="15" xfId="0" applyFont="1" applyFill="1" applyBorder="1" applyAlignment="1">
      <alignment/>
    </xf>
    <xf numFmtId="37" fontId="2" fillId="0" borderId="16" xfId="0" applyFont="1" applyFill="1" applyBorder="1" applyAlignment="1">
      <alignment/>
    </xf>
    <xf numFmtId="37" fontId="7" fillId="0" borderId="16" xfId="0" applyFont="1" applyFill="1" applyBorder="1" applyAlignment="1">
      <alignment/>
    </xf>
    <xf numFmtId="37" fontId="2" fillId="0" borderId="17" xfId="0" applyFont="1" applyFill="1" applyBorder="1" applyAlignment="1">
      <alignment/>
    </xf>
    <xf numFmtId="37" fontId="2" fillId="0" borderId="11" xfId="0" applyFont="1" applyFill="1" applyBorder="1" applyAlignment="1">
      <alignment/>
    </xf>
    <xf numFmtId="37" fontId="2" fillId="0" borderId="18" xfId="0" applyFont="1" applyFill="1" applyBorder="1" applyAlignment="1">
      <alignment/>
    </xf>
    <xf numFmtId="37" fontId="5" fillId="33" borderId="0" xfId="0" applyFont="1" applyFill="1" applyAlignment="1">
      <alignment/>
    </xf>
    <xf numFmtId="37" fontId="6" fillId="0" borderId="0" xfId="0" applyFont="1" applyFill="1" applyAlignment="1">
      <alignment/>
    </xf>
    <xf numFmtId="37" fontId="2" fillId="0" borderId="0" xfId="0" applyFont="1" applyAlignment="1">
      <alignment/>
    </xf>
    <xf numFmtId="37" fontId="2" fillId="33" borderId="0" xfId="0" applyFont="1" applyFill="1" applyAlignment="1" applyProtection="1">
      <alignment horizontal="right"/>
      <protection locked="0"/>
    </xf>
    <xf numFmtId="37" fontId="7" fillId="0" borderId="0" xfId="0" applyFont="1" applyFill="1" applyAlignment="1" applyProtection="1">
      <alignment horizontal="right"/>
      <protection locked="0"/>
    </xf>
    <xf numFmtId="37" fontId="61" fillId="0" borderId="0" xfId="0" applyFont="1" applyFill="1" applyAlignment="1" applyProtection="1">
      <alignment/>
      <protection/>
    </xf>
    <xf numFmtId="170" fontId="1" fillId="0" borderId="0" xfId="42" applyNumberFormat="1" applyFont="1" applyBorder="1" applyAlignment="1">
      <alignment/>
    </xf>
    <xf numFmtId="41" fontId="8" fillId="0" borderId="0" xfId="0" applyNumberFormat="1" applyFont="1" applyFill="1" applyAlignment="1" applyProtection="1">
      <alignment/>
      <protection locked="0"/>
    </xf>
    <xf numFmtId="42" fontId="7" fillId="0" borderId="0" xfId="45" applyFont="1" applyFill="1" applyAlignment="1" applyProtection="1">
      <alignment/>
      <protection locked="0"/>
    </xf>
    <xf numFmtId="37" fontId="2" fillId="0" borderId="0" xfId="42" applyNumberFormat="1" applyFont="1" applyFill="1" applyAlignment="1" applyProtection="1">
      <alignment horizontal="right"/>
      <protection locked="0"/>
    </xf>
    <xf numFmtId="37" fontId="7" fillId="0" borderId="0" xfId="0" applyNumberFormat="1" applyFont="1" applyFill="1" applyAlignment="1" applyProtection="1">
      <alignment horizontal="center"/>
      <protection/>
    </xf>
    <xf numFmtId="37" fontId="0" fillId="0" borderId="0" xfId="0" applyFill="1" applyAlignment="1">
      <alignment horizontal="center"/>
    </xf>
    <xf numFmtId="37" fontId="0" fillId="0" borderId="0" xfId="0" applyAlignment="1">
      <alignment horizontal="center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 horizontal="center"/>
      <protection locked="0"/>
    </xf>
    <xf numFmtId="170" fontId="26" fillId="0" borderId="0" xfId="42" applyNumberFormat="1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8-09 Plvw Budget Detail - FINAL" xfId="57"/>
    <cellStyle name="Normal_BINDEX" xfId="58"/>
    <cellStyle name="Normal_new recycling and landfil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5"/>
  <sheetViews>
    <sheetView showGridLines="0" zoomScaleSheetLayoutView="100" workbookViewId="0" topLeftCell="A1">
      <selection activeCell="F25" sqref="F25"/>
    </sheetView>
  </sheetViews>
  <sheetFormatPr defaultColWidth="9.00390625" defaultRowHeight="12.75"/>
  <cols>
    <col min="1" max="1" width="9.00390625" style="4" customWidth="1"/>
    <col min="2" max="2" width="28.125" style="4" customWidth="1"/>
    <col min="3" max="3" width="13.125" style="4" bestFit="1" customWidth="1"/>
    <col min="4" max="5" width="11.875" style="4" bestFit="1" customWidth="1"/>
    <col min="6" max="6" width="10.375" style="4" bestFit="1" customWidth="1"/>
    <col min="7" max="8" width="9.00390625" style="4" customWidth="1"/>
    <col min="9" max="9" width="9.50390625" style="4" bestFit="1" customWidth="1"/>
    <col min="10" max="16384" width="9.00390625" style="4" customWidth="1"/>
  </cols>
  <sheetData>
    <row r="2" ht="18.75">
      <c r="C2" s="38" t="s">
        <v>685</v>
      </c>
    </row>
    <row r="4" ht="12.75">
      <c r="D4" s="4" t="s">
        <v>7</v>
      </c>
    </row>
    <row r="5" spans="3:4" ht="12.75">
      <c r="C5" s="11" t="s">
        <v>397</v>
      </c>
      <c r="D5" s="11" t="s">
        <v>198</v>
      </c>
    </row>
    <row r="6" spans="2:6" ht="12.75">
      <c r="B6" s="39" t="s">
        <v>202</v>
      </c>
      <c r="C6" s="11" t="s">
        <v>199</v>
      </c>
      <c r="D6" s="11" t="s">
        <v>393</v>
      </c>
      <c r="E6" s="11" t="s">
        <v>200</v>
      </c>
      <c r="F6" s="11" t="s">
        <v>201</v>
      </c>
    </row>
    <row r="7" spans="2:6" ht="12.75">
      <c r="B7" s="4" t="s">
        <v>58</v>
      </c>
      <c r="C7" s="163">
        <v>43142651</v>
      </c>
      <c r="D7" s="4">
        <v>39230091</v>
      </c>
      <c r="E7" s="4">
        <f>+C7-D7</f>
        <v>3912560</v>
      </c>
      <c r="F7" s="106">
        <f>(+C7-D7)/D7</f>
        <v>0.09973364578736256</v>
      </c>
    </row>
    <row r="8" ht="12.75">
      <c r="F8" s="40"/>
    </row>
    <row r="9" spans="2:6" ht="12.75">
      <c r="B9" s="4" t="s">
        <v>314</v>
      </c>
      <c r="C9" s="4">
        <f>+C7/100*0.5</f>
        <v>215713.255</v>
      </c>
      <c r="D9" s="4">
        <f>+D7/100*0.5</f>
        <v>196150.455</v>
      </c>
      <c r="E9" s="4">
        <f>+C9-D9</f>
        <v>19562.800000000017</v>
      </c>
      <c r="F9" s="106">
        <f>(+C9-D9)/D9</f>
        <v>0.09973364578736266</v>
      </c>
    </row>
    <row r="10" ht="12.75">
      <c r="F10" s="40"/>
    </row>
    <row r="11" spans="2:6" ht="12.75">
      <c r="B11" s="4" t="s">
        <v>312</v>
      </c>
      <c r="C11" s="163">
        <v>45905</v>
      </c>
      <c r="D11" s="4">
        <v>45905</v>
      </c>
      <c r="E11" s="4">
        <f>+C11-D11</f>
        <v>0</v>
      </c>
      <c r="F11" s="106">
        <f>(+C11-D11)/D11</f>
        <v>0</v>
      </c>
    </row>
    <row r="12" spans="3:6" ht="12.75">
      <c r="C12" s="163"/>
      <c r="F12" s="106"/>
    </row>
    <row r="13" spans="2:6" ht="12.75">
      <c r="B13" s="4" t="s">
        <v>684</v>
      </c>
      <c r="C13" s="163">
        <v>30000</v>
      </c>
      <c r="D13" s="4">
        <v>0</v>
      </c>
      <c r="E13" s="4">
        <v>0</v>
      </c>
      <c r="F13" s="106">
        <v>0</v>
      </c>
    </row>
    <row r="14" ht="12.75">
      <c r="F14" s="40"/>
    </row>
    <row r="15" spans="2:6" ht="12.75">
      <c r="B15" s="4" t="s">
        <v>313</v>
      </c>
      <c r="C15" s="4">
        <f>+C9+C11+C13</f>
        <v>291618.255</v>
      </c>
      <c r="D15" s="4">
        <f>SUM(D9:D11)</f>
        <v>242055.455</v>
      </c>
      <c r="E15" s="4">
        <f>+C15-D15</f>
        <v>49562.80000000002</v>
      </c>
      <c r="F15" s="106">
        <f>(+C15-D15)/D15</f>
        <v>0.2047580377810532</v>
      </c>
    </row>
    <row r="16" ht="12.75">
      <c r="F16" s="106"/>
    </row>
    <row r="17" spans="3:6" ht="12.75">
      <c r="C17" s="41"/>
      <c r="D17" s="44"/>
      <c r="E17" s="42"/>
      <c r="F17" s="43"/>
    </row>
    <row r="18" spans="3:6" ht="12.75">
      <c r="C18" s="44"/>
      <c r="D18" s="42"/>
      <c r="E18" s="42"/>
      <c r="F18" s="45"/>
    </row>
    <row r="20" ht="12.75">
      <c r="B20" s="39" t="s">
        <v>396</v>
      </c>
    </row>
    <row r="21" spans="2:6" ht="12.75">
      <c r="B21" s="4" t="s">
        <v>394</v>
      </c>
      <c r="C21" s="128">
        <f>C9*100/C7</f>
        <v>0.5</v>
      </c>
      <c r="D21" s="128">
        <f>D9*100/D7</f>
        <v>0.5</v>
      </c>
      <c r="E21" s="128">
        <f>+C21-D21</f>
        <v>0</v>
      </c>
      <c r="F21" s="106">
        <f>(+C21-D21)/D21</f>
        <v>0</v>
      </c>
    </row>
    <row r="22" spans="2:6" ht="12.75">
      <c r="B22" s="4" t="s">
        <v>395</v>
      </c>
      <c r="C22" s="128">
        <f>C11*100/C7</f>
        <v>0.1064028262890011</v>
      </c>
      <c r="D22" s="128">
        <f>D11*100/D7</f>
        <v>0.11701476807688262</v>
      </c>
      <c r="E22" s="128">
        <f>+C22-D22</f>
        <v>-0.01061194178788151</v>
      </c>
      <c r="F22" s="106">
        <f>(+C22-D22)/D22</f>
        <v>-0.09068891014601771</v>
      </c>
    </row>
    <row r="23" spans="2:6" ht="12.75">
      <c r="B23" s="4" t="s">
        <v>530</v>
      </c>
      <c r="C23" s="128">
        <f>C13*100/C7</f>
        <v>0.06953675609781142</v>
      </c>
      <c r="D23" s="128">
        <f>D13*100/D7</f>
        <v>0</v>
      </c>
      <c r="E23" s="128">
        <f>+C23-D23</f>
        <v>0.06953675609781142</v>
      </c>
      <c r="F23" s="106">
        <f>(+C23-D23)-D23</f>
        <v>0.06953675609781142</v>
      </c>
    </row>
    <row r="24" ht="12.75">
      <c r="E24" s="128"/>
    </row>
    <row r="25" spans="2:6" ht="12.75">
      <c r="B25" s="4" t="s">
        <v>398</v>
      </c>
      <c r="C25" s="128">
        <f>SUM(C21:C24)</f>
        <v>0.6759395823868125</v>
      </c>
      <c r="D25" s="128">
        <f>SUM(D21:D24)</f>
        <v>0.6170147680768826</v>
      </c>
      <c r="E25" s="128">
        <f>SUM(E21:E24)</f>
        <v>0.05892481430992991</v>
      </c>
      <c r="F25" s="106">
        <f>(+C25-D25)/D25</f>
        <v>0.0954998443450346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PageLayoutView="50" workbookViewId="0" topLeftCell="A13">
      <selection activeCell="F24" sqref="F24"/>
    </sheetView>
  </sheetViews>
  <sheetFormatPr defaultColWidth="9.00390625" defaultRowHeight="12.75"/>
  <cols>
    <col min="1" max="1" width="4.625" style="22" customWidth="1"/>
    <col min="2" max="2" width="22.625" style="22" customWidth="1"/>
    <col min="3" max="3" width="11.625" style="24" customWidth="1"/>
    <col min="4" max="8" width="11.625" style="22" customWidth="1"/>
    <col min="9" max="16384" width="9.00390625" style="22" customWidth="1"/>
  </cols>
  <sheetData>
    <row r="1" spans="1:8" ht="12.75">
      <c r="A1" s="210" t="s">
        <v>267</v>
      </c>
      <c r="B1" s="211"/>
      <c r="C1" s="211"/>
      <c r="D1" s="211"/>
      <c r="E1" s="211"/>
      <c r="F1" s="211"/>
      <c r="G1" s="21"/>
      <c r="H1" s="21"/>
    </row>
    <row r="2" spans="1:8" ht="12.75">
      <c r="A2" s="210" t="s">
        <v>448</v>
      </c>
      <c r="B2" s="211"/>
      <c r="C2" s="211"/>
      <c r="D2" s="211"/>
      <c r="E2" s="211"/>
      <c r="F2" s="211"/>
      <c r="G2" s="21"/>
      <c r="H2" s="21"/>
    </row>
    <row r="3" spans="2:8" ht="12.75">
      <c r="B3" s="58"/>
      <c r="C3" s="78"/>
      <c r="D3" s="58"/>
      <c r="E3" s="21"/>
      <c r="F3" s="21"/>
      <c r="G3" s="21"/>
      <c r="H3" s="21"/>
    </row>
    <row r="4" spans="2:8" ht="12.75">
      <c r="B4" s="21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  <c r="H4" s="37"/>
    </row>
    <row r="5" spans="2:8" ht="12.75">
      <c r="B5" s="21"/>
      <c r="C5" s="36" t="s">
        <v>2</v>
      </c>
      <c r="D5" s="36" t="s">
        <v>2</v>
      </c>
      <c r="E5" s="36" t="s">
        <v>2</v>
      </c>
      <c r="F5" s="36" t="s">
        <v>2</v>
      </c>
      <c r="H5" s="21"/>
    </row>
    <row r="6" spans="2:8" ht="12.75">
      <c r="B6" s="21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  <c r="H6" s="37"/>
    </row>
    <row r="7" spans="2:8" ht="12.75">
      <c r="B7" s="21"/>
      <c r="C7" s="7" t="s">
        <v>3</v>
      </c>
      <c r="D7" s="36" t="s">
        <v>194</v>
      </c>
      <c r="E7" s="36" t="s">
        <v>191</v>
      </c>
      <c r="F7" s="36" t="s">
        <v>191</v>
      </c>
      <c r="H7" s="21"/>
    </row>
    <row r="8" spans="2:8" ht="12.75">
      <c r="B8" s="21"/>
      <c r="C8" s="3"/>
      <c r="D8" s="21"/>
      <c r="E8" s="21"/>
      <c r="F8" s="21"/>
      <c r="H8" s="21"/>
    </row>
    <row r="9" spans="1:8" ht="12.75">
      <c r="A9" s="23" t="s">
        <v>4</v>
      </c>
      <c r="B9" s="23"/>
      <c r="C9" s="3"/>
      <c r="D9" s="21"/>
      <c r="E9" s="21"/>
      <c r="F9" s="21"/>
      <c r="H9" s="21"/>
    </row>
    <row r="10" spans="1:8" ht="12.75">
      <c r="A10" s="23"/>
      <c r="B10" s="23"/>
      <c r="C10" s="3"/>
      <c r="D10" s="21"/>
      <c r="E10" s="21"/>
      <c r="F10" s="21"/>
      <c r="H10" s="21"/>
    </row>
    <row r="11" spans="1:8" ht="12.75">
      <c r="A11" s="21">
        <v>511</v>
      </c>
      <c r="B11" s="22" t="s">
        <v>20</v>
      </c>
      <c r="C11" s="3">
        <v>0</v>
      </c>
      <c r="D11" s="161"/>
      <c r="E11" s="161"/>
      <c r="F11" s="161"/>
      <c r="H11" s="21"/>
    </row>
    <row r="12" spans="1:8" ht="12.75">
      <c r="A12" s="21">
        <v>513</v>
      </c>
      <c r="B12" s="22" t="s">
        <v>477</v>
      </c>
      <c r="C12" s="3">
        <v>0</v>
      </c>
      <c r="D12" s="161"/>
      <c r="E12" s="161"/>
      <c r="F12" s="161"/>
      <c r="H12" s="21"/>
    </row>
    <row r="13" spans="1:8" ht="12.75">
      <c r="A13" s="21">
        <v>514</v>
      </c>
      <c r="B13" s="21" t="s">
        <v>23</v>
      </c>
      <c r="C13" s="3">
        <v>0</v>
      </c>
      <c r="D13" s="161"/>
      <c r="E13" s="161"/>
      <c r="F13" s="161"/>
      <c r="H13" s="21"/>
    </row>
    <row r="14" spans="1:8" ht="12.75">
      <c r="A14" s="21">
        <v>521</v>
      </c>
      <c r="B14" s="21" t="s">
        <v>263</v>
      </c>
      <c r="C14" s="3">
        <v>0</v>
      </c>
      <c r="D14" s="161"/>
      <c r="E14" s="161"/>
      <c r="F14" s="161"/>
      <c r="H14" s="21"/>
    </row>
    <row r="15" spans="1:8" ht="12.75">
      <c r="A15" s="21">
        <v>522</v>
      </c>
      <c r="B15" s="21" t="s">
        <v>219</v>
      </c>
      <c r="C15" s="3"/>
      <c r="D15" s="161"/>
      <c r="E15" s="161"/>
      <c r="F15" s="161"/>
      <c r="H15" s="21"/>
    </row>
    <row r="16" spans="1:8" ht="12.75">
      <c r="A16" s="21">
        <v>523</v>
      </c>
      <c r="B16" s="21" t="s">
        <v>43</v>
      </c>
      <c r="C16" s="3"/>
      <c r="D16" s="161">
        <v>0</v>
      </c>
      <c r="E16" s="161"/>
      <c r="F16" s="161"/>
      <c r="H16" s="21"/>
    </row>
    <row r="17" spans="1:8" ht="12.75">
      <c r="A17" s="21">
        <v>524</v>
      </c>
      <c r="B17" s="21" t="s">
        <v>266</v>
      </c>
      <c r="C17" s="3">
        <v>0</v>
      </c>
      <c r="D17" s="161"/>
      <c r="E17" s="161"/>
      <c r="F17" s="161"/>
      <c r="H17" s="21"/>
    </row>
    <row r="18" spans="1:8" ht="12.75">
      <c r="A18" s="21">
        <v>525</v>
      </c>
      <c r="B18" s="21" t="s">
        <v>27</v>
      </c>
      <c r="C18" s="3">
        <v>0</v>
      </c>
      <c r="D18" s="161"/>
      <c r="E18" s="161"/>
      <c r="F18" s="161"/>
      <c r="H18" s="21"/>
    </row>
    <row r="19" spans="1:8" ht="12.75">
      <c r="A19" s="21">
        <v>526</v>
      </c>
      <c r="B19" s="21" t="s">
        <v>36</v>
      </c>
      <c r="C19" s="3">
        <v>317.5</v>
      </c>
      <c r="D19" s="161">
        <v>563.28</v>
      </c>
      <c r="E19" s="161">
        <v>500</v>
      </c>
      <c r="F19" s="161">
        <v>0</v>
      </c>
      <c r="H19" s="21"/>
    </row>
    <row r="20" spans="1:8" ht="12.75">
      <c r="A20" s="21">
        <v>532</v>
      </c>
      <c r="B20" s="21" t="s">
        <v>264</v>
      </c>
      <c r="C20" s="3">
        <v>4047.54</v>
      </c>
      <c r="D20" s="161">
        <v>3376.28</v>
      </c>
      <c r="E20" s="161">
        <v>4000</v>
      </c>
      <c r="F20" s="161">
        <v>5000</v>
      </c>
      <c r="H20" s="21"/>
    </row>
    <row r="21" spans="1:8" ht="12.75">
      <c r="A21" s="21">
        <v>539</v>
      </c>
      <c r="B21" s="21" t="s">
        <v>317</v>
      </c>
      <c r="C21" s="3">
        <v>0</v>
      </c>
      <c r="D21" s="161"/>
      <c r="E21" s="161"/>
      <c r="F21" s="161"/>
      <c r="H21" s="21"/>
    </row>
    <row r="22" spans="1:8" ht="12.75">
      <c r="A22" s="21">
        <v>540</v>
      </c>
      <c r="B22" s="21" t="s">
        <v>413</v>
      </c>
      <c r="C22" s="3">
        <v>0</v>
      </c>
      <c r="D22" s="161"/>
      <c r="E22" s="161"/>
      <c r="F22" s="161"/>
      <c r="H22" s="21"/>
    </row>
    <row r="23" spans="1:8" ht="12.75">
      <c r="A23" s="21">
        <v>553</v>
      </c>
      <c r="B23" s="21" t="s">
        <v>277</v>
      </c>
      <c r="C23" s="3">
        <v>9411.48</v>
      </c>
      <c r="D23" s="161">
        <v>0</v>
      </c>
      <c r="E23" s="161">
        <v>5000</v>
      </c>
      <c r="F23" s="161">
        <v>10000</v>
      </c>
      <c r="G23" s="22" t="s">
        <v>7</v>
      </c>
      <c r="H23" s="21"/>
    </row>
    <row r="24" spans="1:8" ht="12.75">
      <c r="A24" s="21">
        <v>554</v>
      </c>
      <c r="B24" s="21" t="s">
        <v>328</v>
      </c>
      <c r="C24" s="3"/>
      <c r="D24" s="161"/>
      <c r="E24" s="161"/>
      <c r="F24" s="161"/>
      <c r="H24" s="21"/>
    </row>
    <row r="25" spans="1:8" ht="12.75">
      <c r="A25" s="21">
        <v>561</v>
      </c>
      <c r="B25" s="21" t="s">
        <v>265</v>
      </c>
      <c r="C25" s="3"/>
      <c r="D25" s="161"/>
      <c r="E25" s="161"/>
      <c r="F25" s="161"/>
      <c r="H25" s="21"/>
    </row>
    <row r="26" spans="1:8" ht="12.75">
      <c r="A26" s="21">
        <v>562</v>
      </c>
      <c r="B26" s="21" t="s">
        <v>195</v>
      </c>
      <c r="C26" s="15">
        <v>0</v>
      </c>
      <c r="D26" s="167"/>
      <c r="E26" s="167"/>
      <c r="F26" s="167"/>
      <c r="H26" s="21"/>
    </row>
    <row r="27" spans="1:8" ht="12.75">
      <c r="A27" s="21"/>
      <c r="B27" s="21"/>
      <c r="C27" s="3"/>
      <c r="H27" s="21"/>
    </row>
    <row r="28" spans="1:8" ht="12.75">
      <c r="A28" s="23" t="s">
        <v>30</v>
      </c>
      <c r="B28" s="21"/>
      <c r="C28" s="136">
        <f>SUM(C11:C26)</f>
        <v>13776.52</v>
      </c>
      <c r="D28" s="51">
        <f>SUM(D11:D26)</f>
        <v>3939.5600000000004</v>
      </c>
      <c r="E28" s="23">
        <f>SUM(E11:E26)</f>
        <v>9500</v>
      </c>
      <c r="F28" s="23">
        <f>SUM(F11:F26)</f>
        <v>15000</v>
      </c>
      <c r="H28" s="21"/>
    </row>
    <row r="29" spans="1:8" ht="12.75">
      <c r="A29" s="23"/>
      <c r="B29" s="21" t="s">
        <v>11</v>
      </c>
      <c r="C29" s="136">
        <v>0</v>
      </c>
      <c r="D29" s="51">
        <v>0</v>
      </c>
      <c r="E29" s="51">
        <v>0</v>
      </c>
      <c r="F29" s="51">
        <v>0</v>
      </c>
      <c r="H29" s="21"/>
    </row>
    <row r="30" spans="1:8" ht="18" customHeight="1">
      <c r="A30" s="23" t="s">
        <v>12</v>
      </c>
      <c r="B30" s="21"/>
      <c r="C30" s="25">
        <f>SUM(C28:C28)</f>
        <v>13776.52</v>
      </c>
      <c r="D30" s="85">
        <f>SUM(D28:D29)</f>
        <v>3939.5600000000004</v>
      </c>
      <c r="E30" s="85">
        <f>SUM(E28:E29)</f>
        <v>9500</v>
      </c>
      <c r="F30" s="85">
        <f>SUM(F28:F29)</f>
        <v>15000</v>
      </c>
      <c r="H30" s="21">
        <f>SUM(D30-E30)</f>
        <v>-5560.44</v>
      </c>
    </row>
    <row r="31" spans="1:8" ht="12.75">
      <c r="A31" s="21"/>
      <c r="B31" s="21"/>
      <c r="C31" s="3"/>
      <c r="E31" s="21"/>
      <c r="H31" s="21"/>
    </row>
    <row r="32" spans="1:8" ht="12.75">
      <c r="A32" s="23" t="s">
        <v>13</v>
      </c>
      <c r="B32" s="21"/>
      <c r="C32" s="3"/>
      <c r="H32" s="21"/>
    </row>
    <row r="33" spans="1:8" ht="12.75">
      <c r="A33" s="21" t="s">
        <v>42</v>
      </c>
      <c r="B33" s="21"/>
      <c r="C33" s="3">
        <v>0</v>
      </c>
      <c r="D33" s="22">
        <v>0</v>
      </c>
      <c r="E33" s="22">
        <v>0</v>
      </c>
      <c r="F33" s="22" t="s">
        <v>7</v>
      </c>
      <c r="H33" s="21"/>
    </row>
    <row r="34" spans="1:8" ht="12.75">
      <c r="A34" s="21">
        <v>422</v>
      </c>
      <c r="B34" s="21" t="s">
        <v>15</v>
      </c>
      <c r="C34" s="3">
        <v>0</v>
      </c>
      <c r="D34" s="161">
        <v>566.77</v>
      </c>
      <c r="E34" s="22">
        <v>10000</v>
      </c>
      <c r="F34" s="161">
        <v>5000</v>
      </c>
      <c r="H34" s="21"/>
    </row>
    <row r="35" spans="1:8" ht="12.75">
      <c r="A35" s="21">
        <v>423</v>
      </c>
      <c r="B35" s="21" t="s">
        <v>433</v>
      </c>
      <c r="C35" s="3">
        <v>0</v>
      </c>
      <c r="D35" s="161">
        <v>0</v>
      </c>
      <c r="F35" s="161">
        <v>0</v>
      </c>
      <c r="H35" s="21"/>
    </row>
    <row r="36" spans="1:8" ht="12.75">
      <c r="A36" s="21">
        <v>426</v>
      </c>
      <c r="B36" s="21" t="s">
        <v>302</v>
      </c>
      <c r="C36" s="3">
        <v>0</v>
      </c>
      <c r="D36" s="161">
        <v>0</v>
      </c>
      <c r="F36" s="161">
        <v>0</v>
      </c>
      <c r="H36" s="21"/>
    </row>
    <row r="37" spans="1:8" ht="12.75">
      <c r="A37" s="21">
        <v>457</v>
      </c>
      <c r="B37" s="21" t="s">
        <v>414</v>
      </c>
      <c r="C37" s="3">
        <v>0</v>
      </c>
      <c r="D37" s="161">
        <v>0</v>
      </c>
      <c r="E37" s="22" t="s">
        <v>7</v>
      </c>
      <c r="F37" s="161">
        <v>0</v>
      </c>
      <c r="H37" s="21"/>
    </row>
    <row r="38" spans="1:8" ht="12.75">
      <c r="A38" s="21">
        <v>429</v>
      </c>
      <c r="B38" s="21" t="s">
        <v>195</v>
      </c>
      <c r="C38" s="3"/>
      <c r="D38" s="161">
        <v>0</v>
      </c>
      <c r="F38" s="161">
        <v>0</v>
      </c>
      <c r="H38" s="21"/>
    </row>
    <row r="39" spans="1:8" ht="12.75">
      <c r="A39" s="21">
        <v>471</v>
      </c>
      <c r="B39" s="21" t="s">
        <v>415</v>
      </c>
      <c r="C39" s="3">
        <v>0</v>
      </c>
      <c r="D39" s="161">
        <v>0</v>
      </c>
      <c r="E39" s="22" t="s">
        <v>7</v>
      </c>
      <c r="F39" s="161">
        <v>0</v>
      </c>
      <c r="H39" s="21"/>
    </row>
    <row r="40" spans="1:8" ht="12.75">
      <c r="A40" s="21">
        <v>481</v>
      </c>
      <c r="B40" s="21" t="s">
        <v>305</v>
      </c>
      <c r="C40" s="15">
        <v>0</v>
      </c>
      <c r="D40" s="167">
        <v>0</v>
      </c>
      <c r="E40" s="27">
        <v>0</v>
      </c>
      <c r="F40" s="167">
        <v>0</v>
      </c>
      <c r="H40" s="21"/>
    </row>
    <row r="41" spans="1:8" ht="12.75">
      <c r="A41" s="21"/>
      <c r="B41" s="21"/>
      <c r="C41" s="3"/>
      <c r="H41" s="21"/>
    </row>
    <row r="42" spans="1:8" ht="12.75">
      <c r="A42" s="23" t="s">
        <v>16</v>
      </c>
      <c r="B42" s="21"/>
      <c r="C42" s="5">
        <f>SUM(C33:C40)</f>
        <v>0</v>
      </c>
      <c r="D42" s="5">
        <f>SUM(D33:D40)</f>
        <v>566.77</v>
      </c>
      <c r="E42" s="5">
        <f>SUM(E33:E40)</f>
        <v>10000</v>
      </c>
      <c r="F42" s="5">
        <f>SUM(F33:F41)</f>
        <v>5000</v>
      </c>
      <c r="H42" s="21">
        <f>SUM(E42-D42)</f>
        <v>9433.23</v>
      </c>
    </row>
    <row r="43" spans="1:8" ht="12.75">
      <c r="A43" s="21"/>
      <c r="B43" s="21" t="s">
        <v>17</v>
      </c>
      <c r="C43" s="15">
        <f>SUM(C30)</f>
        <v>13776.52</v>
      </c>
      <c r="D43" s="32">
        <f>SUM(D30)</f>
        <v>3939.5600000000004</v>
      </c>
      <c r="E43" s="32">
        <f>SUM(E30)</f>
        <v>9500</v>
      </c>
      <c r="F43" s="32">
        <f>-F30</f>
        <v>-15000</v>
      </c>
      <c r="H43" s="21"/>
    </row>
    <row r="44" spans="1:8" ht="12.75">
      <c r="A44" s="21"/>
      <c r="B44" s="21"/>
      <c r="C44" s="3"/>
      <c r="E44" s="21"/>
      <c r="H44" s="21"/>
    </row>
    <row r="45" spans="1:8" ht="18.75" customHeight="1">
      <c r="A45" s="23" t="s">
        <v>18</v>
      </c>
      <c r="B45" s="21"/>
      <c r="C45" s="25">
        <f>SUM(C42-C43)</f>
        <v>-13776.52</v>
      </c>
      <c r="D45" s="85">
        <f>SUM(D42-D43)</f>
        <v>-3372.7900000000004</v>
      </c>
      <c r="E45" s="85">
        <f>SUM(E42-E43)</f>
        <v>500</v>
      </c>
      <c r="F45" s="85">
        <f>F42+F43</f>
        <v>-10000</v>
      </c>
      <c r="H45" s="21"/>
    </row>
    <row r="46" spans="1:8" ht="12.75">
      <c r="A46" s="21"/>
      <c r="B46" s="21"/>
      <c r="C46" s="3"/>
      <c r="D46" s="21"/>
      <c r="E46" s="21"/>
      <c r="H46" s="21"/>
    </row>
    <row r="47" spans="1:8" ht="12.75">
      <c r="A47" s="21"/>
      <c r="B47" s="21"/>
      <c r="C47" s="3"/>
      <c r="D47" s="21"/>
      <c r="E47" s="21"/>
      <c r="F47" s="21"/>
      <c r="G47" s="21"/>
      <c r="H47" s="21"/>
    </row>
    <row r="48" spans="1:8" ht="12.75">
      <c r="A48" s="21"/>
      <c r="B48" s="21"/>
      <c r="C48" s="3"/>
      <c r="D48" s="21"/>
      <c r="E48" s="21"/>
      <c r="F48" s="21"/>
      <c r="G48" s="21"/>
      <c r="H48" s="21"/>
    </row>
    <row r="49" spans="1:8" ht="12.75">
      <c r="A49" s="21"/>
      <c r="B49" s="21"/>
      <c r="C49" s="3"/>
      <c r="D49" s="21"/>
      <c r="E49" s="21"/>
      <c r="F49" s="21"/>
      <c r="G49" s="21"/>
      <c r="H49" s="21"/>
    </row>
    <row r="50" spans="1:8" ht="12.75">
      <c r="A50" s="21"/>
      <c r="B50" s="21"/>
      <c r="C50" s="3"/>
      <c r="D50" s="21"/>
      <c r="E50" s="21"/>
      <c r="F50" s="21"/>
      <c r="G50" s="21"/>
      <c r="H50" s="21"/>
    </row>
    <row r="51" spans="1:8" ht="12.75">
      <c r="A51" s="21"/>
      <c r="B51" s="21"/>
      <c r="C51" s="3"/>
      <c r="D51" s="21"/>
      <c r="E51" s="21"/>
      <c r="F51" s="21"/>
      <c r="G51" s="21"/>
      <c r="H51" s="21"/>
    </row>
    <row r="52" spans="1:8" ht="12.75">
      <c r="A52" s="21"/>
      <c r="B52" s="21"/>
      <c r="C52" s="3"/>
      <c r="D52" s="21"/>
      <c r="E52" s="21"/>
      <c r="F52" s="21"/>
      <c r="G52" s="21"/>
      <c r="H52" s="21"/>
    </row>
    <row r="53" spans="1:8" ht="12.75">
      <c r="A53" s="21"/>
      <c r="B53" s="21"/>
      <c r="C53" s="3"/>
      <c r="D53" s="21"/>
      <c r="E53" s="21"/>
      <c r="F53" s="21"/>
      <c r="G53" s="21"/>
      <c r="H53" s="21"/>
    </row>
    <row r="54" spans="1:8" ht="12.75">
      <c r="A54" s="21"/>
      <c r="B54" s="21"/>
      <c r="C54" s="3"/>
      <c r="D54" s="21"/>
      <c r="E54" s="21"/>
      <c r="F54" s="21"/>
      <c r="G54" s="21"/>
      <c r="H54" s="21"/>
    </row>
  </sheetData>
  <sheetProtection/>
  <mergeCells count="2">
    <mergeCell ref="A1:F1"/>
    <mergeCell ref="A2:F2"/>
  </mergeCells>
  <printOptions/>
  <pageMargins left="0.7" right="0.7" top="0.8" bottom="0.6" header="0.5" footer="0.5"/>
  <pageSetup horizontalDpi="300" verticalDpi="300" orientation="portrait" r:id="rId1"/>
  <headerFooter alignWithMargins="0">
    <oddFooter>&amp;CPage &amp;P
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50" workbookViewId="0" topLeftCell="A22">
      <selection activeCell="F32" sqref="F32"/>
    </sheetView>
  </sheetViews>
  <sheetFormatPr defaultColWidth="9.00390625" defaultRowHeight="12.75"/>
  <cols>
    <col min="1" max="1" width="4.625" style="22" customWidth="1"/>
    <col min="2" max="2" width="22.625" style="22" customWidth="1"/>
    <col min="3" max="3" width="11.625" style="24" customWidth="1"/>
    <col min="4" max="8" width="11.625" style="22" customWidth="1"/>
    <col min="9" max="16384" width="9.00390625" style="22" customWidth="1"/>
  </cols>
  <sheetData>
    <row r="1" spans="1:8" ht="12.75">
      <c r="A1" s="210" t="s">
        <v>267</v>
      </c>
      <c r="B1" s="211"/>
      <c r="C1" s="211"/>
      <c r="D1" s="211"/>
      <c r="E1" s="211"/>
      <c r="F1" s="211"/>
      <c r="G1" s="21"/>
      <c r="H1" s="21"/>
    </row>
    <row r="2" spans="1:8" ht="12.75">
      <c r="A2" s="210" t="s">
        <v>452</v>
      </c>
      <c r="B2" s="212"/>
      <c r="C2" s="212"/>
      <c r="D2" s="212"/>
      <c r="E2" s="212"/>
      <c r="F2" s="212"/>
      <c r="G2" s="21"/>
      <c r="H2" s="21"/>
    </row>
    <row r="3" spans="2:8" ht="12.75">
      <c r="B3" s="58"/>
      <c r="C3" s="78"/>
      <c r="D3" s="58"/>
      <c r="E3" s="21"/>
      <c r="F3" s="21"/>
      <c r="G3" s="21"/>
      <c r="H3" s="21"/>
    </row>
    <row r="4" spans="2:8" ht="12.75">
      <c r="B4" s="21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  <c r="H4" s="37"/>
    </row>
    <row r="5" spans="2:8" ht="12.75">
      <c r="B5" s="21"/>
      <c r="C5" s="36" t="s">
        <v>2</v>
      </c>
      <c r="D5" s="36" t="s">
        <v>2</v>
      </c>
      <c r="E5" s="36" t="s">
        <v>2</v>
      </c>
      <c r="F5" s="36" t="s">
        <v>2</v>
      </c>
      <c r="H5" s="21"/>
    </row>
    <row r="6" spans="2:8" ht="12.75">
      <c r="B6" s="21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  <c r="H6" s="37"/>
    </row>
    <row r="7" spans="2:8" ht="12.75">
      <c r="B7" s="21"/>
      <c r="C7" s="7" t="s">
        <v>3</v>
      </c>
      <c r="D7" s="36" t="s">
        <v>194</v>
      </c>
      <c r="E7" s="36" t="s">
        <v>191</v>
      </c>
      <c r="F7" s="36" t="s">
        <v>191</v>
      </c>
      <c r="H7" s="21"/>
    </row>
    <row r="8" spans="2:8" ht="12.75">
      <c r="B8" s="21"/>
      <c r="C8" s="3"/>
      <c r="D8" s="21"/>
      <c r="E8" s="21"/>
      <c r="F8" s="21"/>
      <c r="H8" s="21"/>
    </row>
    <row r="9" spans="1:8" ht="12.75">
      <c r="A9" s="23" t="s">
        <v>4</v>
      </c>
      <c r="B9" s="23"/>
      <c r="C9" s="3"/>
      <c r="D9" s="21"/>
      <c r="E9" s="21"/>
      <c r="F9" s="21"/>
      <c r="H9" s="21"/>
    </row>
    <row r="10" spans="1:8" ht="12.75">
      <c r="A10" s="23"/>
      <c r="B10" s="23"/>
      <c r="C10" s="3"/>
      <c r="D10" s="21"/>
      <c r="E10" s="21"/>
      <c r="F10" s="21"/>
      <c r="H10" s="21"/>
    </row>
    <row r="11" spans="1:8" ht="12.75">
      <c r="A11" s="21">
        <v>511</v>
      </c>
      <c r="B11" s="22" t="s">
        <v>20</v>
      </c>
      <c r="C11" s="3">
        <v>19548.94</v>
      </c>
      <c r="D11" s="161">
        <v>22886.31</v>
      </c>
      <c r="E11" s="161">
        <v>23000</v>
      </c>
      <c r="F11" s="161">
        <v>24000</v>
      </c>
      <c r="G11" s="22" t="s">
        <v>7</v>
      </c>
      <c r="H11" s="21"/>
    </row>
    <row r="12" spans="1:8" ht="12.75">
      <c r="A12" s="21">
        <v>514</v>
      </c>
      <c r="B12" s="21" t="s">
        <v>23</v>
      </c>
      <c r="C12" s="3">
        <v>1495.65</v>
      </c>
      <c r="D12" s="161">
        <v>1786.99</v>
      </c>
      <c r="E12" s="161">
        <v>1805</v>
      </c>
      <c r="F12" s="161">
        <v>1920</v>
      </c>
      <c r="G12" s="22" t="s">
        <v>7</v>
      </c>
      <c r="H12" s="21"/>
    </row>
    <row r="13" spans="1:8" ht="12.75">
      <c r="A13" s="21">
        <v>521</v>
      </c>
      <c r="B13" s="21" t="s">
        <v>263</v>
      </c>
      <c r="C13" s="3">
        <v>0</v>
      </c>
      <c r="D13" s="161">
        <v>540</v>
      </c>
      <c r="E13" s="161">
        <v>100</v>
      </c>
      <c r="F13" s="161">
        <v>500</v>
      </c>
      <c r="G13" s="22" t="s">
        <v>7</v>
      </c>
      <c r="H13" s="21"/>
    </row>
    <row r="14" spans="1:8" ht="12.75">
      <c r="A14" s="21">
        <v>522</v>
      </c>
      <c r="B14" s="21" t="s">
        <v>219</v>
      </c>
      <c r="C14" s="3">
        <v>189.75</v>
      </c>
      <c r="D14" s="161">
        <v>200</v>
      </c>
      <c r="E14" s="161">
        <v>200</v>
      </c>
      <c r="F14" s="161">
        <v>245</v>
      </c>
      <c r="G14" s="22" t="s">
        <v>7</v>
      </c>
      <c r="H14" s="21"/>
    </row>
    <row r="15" spans="1:8" ht="12.75">
      <c r="A15" s="21">
        <v>523</v>
      </c>
      <c r="B15" s="21" t="s">
        <v>43</v>
      </c>
      <c r="C15" s="3">
        <v>0</v>
      </c>
      <c r="D15" s="161">
        <v>0</v>
      </c>
      <c r="E15" s="161">
        <v>200</v>
      </c>
      <c r="F15" s="161">
        <v>100</v>
      </c>
      <c r="G15" s="22" t="s">
        <v>7</v>
      </c>
      <c r="H15" s="21"/>
    </row>
    <row r="16" spans="1:8" ht="12.75">
      <c r="A16" s="21">
        <v>524</v>
      </c>
      <c r="B16" s="21" t="s">
        <v>266</v>
      </c>
      <c r="C16" s="3">
        <v>194.31</v>
      </c>
      <c r="D16" s="161">
        <v>351.31</v>
      </c>
      <c r="E16" s="161">
        <v>200</v>
      </c>
      <c r="F16" s="161">
        <v>200</v>
      </c>
      <c r="G16" s="22" t="s">
        <v>7</v>
      </c>
      <c r="H16" s="21"/>
    </row>
    <row r="17" spans="1:8" ht="12.75">
      <c r="A17" s="21">
        <v>525</v>
      </c>
      <c r="B17" s="21" t="s">
        <v>27</v>
      </c>
      <c r="C17" s="3">
        <v>1863.88</v>
      </c>
      <c r="D17" s="161">
        <v>1674.12</v>
      </c>
      <c r="E17" s="161">
        <v>2050</v>
      </c>
      <c r="F17" s="161">
        <v>1841.4</v>
      </c>
      <c r="G17" s="22" t="s">
        <v>7</v>
      </c>
      <c r="H17" s="21"/>
    </row>
    <row r="18" spans="1:8" ht="12.75">
      <c r="A18" s="21">
        <v>526</v>
      </c>
      <c r="B18" s="21" t="s">
        <v>36</v>
      </c>
      <c r="C18" s="3">
        <v>3634.63</v>
      </c>
      <c r="D18" s="161">
        <v>2569.58</v>
      </c>
      <c r="E18" s="161">
        <v>5500</v>
      </c>
      <c r="F18" s="161">
        <v>5000</v>
      </c>
      <c r="G18" s="22" t="s">
        <v>7</v>
      </c>
      <c r="H18" s="21"/>
    </row>
    <row r="19" spans="1:8" ht="12.75">
      <c r="A19" s="21">
        <v>532</v>
      </c>
      <c r="B19" s="21" t="s">
        <v>264</v>
      </c>
      <c r="C19" s="3">
        <v>15183.3</v>
      </c>
      <c r="D19" s="161">
        <v>12633.32</v>
      </c>
      <c r="E19" s="161">
        <v>12000</v>
      </c>
      <c r="F19" s="161">
        <v>12500</v>
      </c>
      <c r="G19" s="22" t="s">
        <v>7</v>
      </c>
      <c r="H19" s="21"/>
    </row>
    <row r="20" spans="1:8" ht="12.75">
      <c r="A20" s="21">
        <v>539</v>
      </c>
      <c r="B20" s="21" t="s">
        <v>415</v>
      </c>
      <c r="C20" s="3">
        <v>0</v>
      </c>
      <c r="D20" s="161">
        <v>0</v>
      </c>
      <c r="E20" s="161">
        <v>0</v>
      </c>
      <c r="F20" s="161">
        <v>0</v>
      </c>
      <c r="G20" s="22" t="s">
        <v>7</v>
      </c>
      <c r="H20" s="21"/>
    </row>
    <row r="21" spans="1:8" ht="12.75">
      <c r="A21" s="21">
        <v>553</v>
      </c>
      <c r="B21" s="21" t="s">
        <v>277</v>
      </c>
      <c r="C21" s="3">
        <v>9500</v>
      </c>
      <c r="D21" s="161">
        <v>0</v>
      </c>
      <c r="E21" s="161">
        <v>1500</v>
      </c>
      <c r="F21" s="161">
        <v>1500</v>
      </c>
      <c r="H21" s="21"/>
    </row>
    <row r="22" spans="1:8" ht="12.75">
      <c r="A22" s="21">
        <v>554</v>
      </c>
      <c r="B22" s="21" t="s">
        <v>328</v>
      </c>
      <c r="C22" s="3">
        <v>0</v>
      </c>
      <c r="D22" s="161">
        <v>0</v>
      </c>
      <c r="E22" s="161">
        <v>1000</v>
      </c>
      <c r="F22" s="161">
        <v>1000</v>
      </c>
      <c r="H22" s="21"/>
    </row>
    <row r="23" spans="1:8" ht="12.75">
      <c r="A23" s="21">
        <v>561</v>
      </c>
      <c r="B23" s="21" t="s">
        <v>265</v>
      </c>
      <c r="C23" s="3">
        <v>0</v>
      </c>
      <c r="D23" s="161">
        <v>40000</v>
      </c>
      <c r="E23" s="161">
        <v>35000</v>
      </c>
      <c r="F23" s="161">
        <v>40000</v>
      </c>
      <c r="H23" s="21"/>
    </row>
    <row r="24" spans="1:8" ht="12.75">
      <c r="A24" s="21">
        <v>562</v>
      </c>
      <c r="B24" s="21" t="s">
        <v>195</v>
      </c>
      <c r="C24" s="15">
        <v>0</v>
      </c>
      <c r="D24" s="167">
        <v>3745.75</v>
      </c>
      <c r="E24" s="167">
        <v>12973</v>
      </c>
      <c r="F24" s="167">
        <v>3746</v>
      </c>
      <c r="H24" s="21"/>
    </row>
    <row r="25" spans="1:8" ht="12.75">
      <c r="A25" s="21"/>
      <c r="B25" s="21"/>
      <c r="C25" s="3"/>
      <c r="H25" s="21"/>
    </row>
    <row r="26" spans="1:8" ht="12.75">
      <c r="A26" s="23" t="s">
        <v>30</v>
      </c>
      <c r="B26" s="21"/>
      <c r="C26" s="136">
        <f>SUM(C11:C24)</f>
        <v>51610.46000000001</v>
      </c>
      <c r="D26" s="51">
        <f>SUM(D11:D24)</f>
        <v>86387.38</v>
      </c>
      <c r="E26" s="23">
        <f>SUM(E11:E24)</f>
        <v>95528</v>
      </c>
      <c r="F26" s="23">
        <f>SUM(F11:F24)</f>
        <v>92552.4</v>
      </c>
      <c r="H26" s="21"/>
    </row>
    <row r="27" spans="1:8" ht="12.75">
      <c r="A27" s="23"/>
      <c r="B27" s="21" t="s">
        <v>11</v>
      </c>
      <c r="C27" s="5">
        <v>0</v>
      </c>
      <c r="D27" s="23">
        <v>0</v>
      </c>
      <c r="E27" s="51">
        <v>0</v>
      </c>
      <c r="F27" s="51">
        <v>0</v>
      </c>
      <c r="H27" s="21"/>
    </row>
    <row r="28" spans="1:8" ht="18" customHeight="1">
      <c r="A28" s="23" t="s">
        <v>12</v>
      </c>
      <c r="B28" s="21"/>
      <c r="C28" s="25">
        <f>SUM(C26:C27)</f>
        <v>51610.46000000001</v>
      </c>
      <c r="D28" s="25">
        <f>SUM(D26:D27)</f>
        <v>86387.38</v>
      </c>
      <c r="E28" s="25">
        <f>SUM(E26:E27)</f>
        <v>95528</v>
      </c>
      <c r="F28" s="25">
        <f>SUM(F26:F27)</f>
        <v>92552.4</v>
      </c>
      <c r="G28" s="53" t="s">
        <v>7</v>
      </c>
      <c r="H28" s="21">
        <f>SUM(D28-E28)</f>
        <v>-9140.619999999995</v>
      </c>
    </row>
    <row r="29" spans="1:8" ht="12.75">
      <c r="A29" s="21"/>
      <c r="B29" s="21"/>
      <c r="C29" s="3"/>
      <c r="E29" s="21"/>
      <c r="H29" s="21"/>
    </row>
    <row r="30" spans="1:8" ht="12.75">
      <c r="A30" s="23" t="s">
        <v>13</v>
      </c>
      <c r="B30" s="21"/>
      <c r="C30" s="3"/>
      <c r="E30" s="21"/>
      <c r="H30" s="21"/>
    </row>
    <row r="31" spans="1:8" ht="12.75">
      <c r="A31" s="21" t="s">
        <v>42</v>
      </c>
      <c r="B31" s="21"/>
      <c r="C31" s="5">
        <v>0</v>
      </c>
      <c r="D31" s="53">
        <v>0</v>
      </c>
      <c r="E31" s="53">
        <v>0</v>
      </c>
      <c r="F31" s="53">
        <v>86327.58</v>
      </c>
      <c r="G31" s="22" t="s">
        <v>7</v>
      </c>
      <c r="H31" s="21"/>
    </row>
    <row r="32" spans="1:8" ht="12.75">
      <c r="A32" s="21">
        <v>420</v>
      </c>
      <c r="B32" s="21" t="s">
        <v>301</v>
      </c>
      <c r="C32" s="3">
        <v>0</v>
      </c>
      <c r="D32" s="22">
        <v>0</v>
      </c>
      <c r="E32" s="22">
        <v>0</v>
      </c>
      <c r="F32" s="22">
        <v>0</v>
      </c>
      <c r="H32" s="21"/>
    </row>
    <row r="33" spans="1:8" ht="12.75">
      <c r="A33" s="21">
        <v>457</v>
      </c>
      <c r="B33" s="21" t="s">
        <v>414</v>
      </c>
      <c r="C33" s="3">
        <v>2023.42</v>
      </c>
      <c r="D33" s="161">
        <v>2759.67</v>
      </c>
      <c r="E33" s="161">
        <v>1750</v>
      </c>
      <c r="F33" s="161">
        <v>2000</v>
      </c>
      <c r="H33" s="21"/>
    </row>
    <row r="34" spans="1:8" ht="12.75">
      <c r="A34" s="21">
        <v>439</v>
      </c>
      <c r="B34" s="21" t="s">
        <v>375</v>
      </c>
      <c r="C34" s="3">
        <v>10665.76</v>
      </c>
      <c r="D34" s="161">
        <v>11363.38</v>
      </c>
      <c r="E34" s="161">
        <v>10000</v>
      </c>
      <c r="F34" s="161">
        <v>10500</v>
      </c>
      <c r="H34" s="21"/>
    </row>
    <row r="35" spans="1:8" ht="12.75">
      <c r="A35" s="21">
        <v>481</v>
      </c>
      <c r="B35" s="21" t="s">
        <v>305</v>
      </c>
      <c r="C35" s="15">
        <v>0</v>
      </c>
      <c r="D35" s="167">
        <v>0</v>
      </c>
      <c r="E35" s="167">
        <v>0</v>
      </c>
      <c r="F35" s="167">
        <v>0</v>
      </c>
      <c r="G35" s="22" t="s">
        <v>7</v>
      </c>
      <c r="H35" s="21"/>
    </row>
    <row r="36" spans="1:8" ht="12.75">
      <c r="A36" s="21">
        <v>429</v>
      </c>
      <c r="B36" s="21" t="s">
        <v>195</v>
      </c>
      <c r="C36" s="3">
        <v>0</v>
      </c>
      <c r="D36" s="22">
        <v>0</v>
      </c>
      <c r="E36" s="22">
        <v>100</v>
      </c>
      <c r="F36" s="22">
        <v>0</v>
      </c>
      <c r="H36" s="21"/>
    </row>
    <row r="37" spans="1:8" ht="12.75">
      <c r="A37" s="23" t="s">
        <v>16</v>
      </c>
      <c r="B37" s="21"/>
      <c r="C37" s="5">
        <f>SUM(C31:C36)</f>
        <v>12689.18</v>
      </c>
      <c r="D37" s="5">
        <f>SUM(D31:D36)</f>
        <v>14123.05</v>
      </c>
      <c r="E37" s="5">
        <f>SUM(E31:E36)</f>
        <v>11850</v>
      </c>
      <c r="F37" s="5">
        <f>SUM(F31:F36)</f>
        <v>98827.58</v>
      </c>
      <c r="G37" s="53" t="s">
        <v>7</v>
      </c>
      <c r="H37" s="21">
        <f>SUM(D37-E37)</f>
        <v>2273.0499999999993</v>
      </c>
    </row>
    <row r="38" spans="1:8" ht="12.75">
      <c r="A38" s="21"/>
      <c r="B38" s="21" t="s">
        <v>17</v>
      </c>
      <c r="C38" s="15">
        <f>SUM(C28)</f>
        <v>51610.46000000001</v>
      </c>
      <c r="D38" s="32">
        <f>SUM(D28)</f>
        <v>86387.38</v>
      </c>
      <c r="E38" s="32">
        <f>SUM(E28)</f>
        <v>95528</v>
      </c>
      <c r="F38" s="32">
        <f>SUM(F28)</f>
        <v>92552.4</v>
      </c>
      <c r="H38" s="21"/>
    </row>
    <row r="39" spans="1:8" ht="12.75">
      <c r="A39" s="21"/>
      <c r="B39" s="21"/>
      <c r="C39" s="3"/>
      <c r="E39" s="21"/>
      <c r="H39" s="21"/>
    </row>
    <row r="40" spans="1:8" ht="18.75" customHeight="1">
      <c r="A40" s="23" t="s">
        <v>18</v>
      </c>
      <c r="B40" s="21"/>
      <c r="C40" s="25">
        <f>SUM(C37-C38)</f>
        <v>-38921.280000000006</v>
      </c>
      <c r="D40" s="85">
        <f>SUM(D37-D38)</f>
        <v>-72264.33</v>
      </c>
      <c r="E40" s="85">
        <f>SUM(E37-E38)</f>
        <v>-83678</v>
      </c>
      <c r="F40" s="85">
        <f>SUM(F37-F38)</f>
        <v>6275.180000000008</v>
      </c>
      <c r="G40" s="53" t="s">
        <v>7</v>
      </c>
      <c r="H40" s="21"/>
    </row>
    <row r="41" spans="1:8" ht="12.75">
      <c r="A41" s="21"/>
      <c r="B41" s="21"/>
      <c r="C41" s="3"/>
      <c r="D41" s="21"/>
      <c r="E41" s="21"/>
      <c r="H41" s="21"/>
    </row>
    <row r="42" spans="1:8" ht="12.75">
      <c r="A42" s="21"/>
      <c r="B42" s="21"/>
      <c r="C42" s="3"/>
      <c r="D42" s="21"/>
      <c r="E42" s="21"/>
      <c r="F42" s="21"/>
      <c r="G42" s="21"/>
      <c r="H42" s="21"/>
    </row>
    <row r="43" spans="1:8" ht="12.75">
      <c r="A43" s="21"/>
      <c r="B43" s="21"/>
      <c r="C43" s="3"/>
      <c r="D43" s="21"/>
      <c r="E43" s="21"/>
      <c r="F43" s="21"/>
      <c r="G43" s="21"/>
      <c r="H43" s="21"/>
    </row>
    <row r="44" spans="1:8" ht="12.75">
      <c r="A44" s="21"/>
      <c r="B44" s="21"/>
      <c r="C44" s="3"/>
      <c r="D44" s="21"/>
      <c r="E44" s="21"/>
      <c r="F44" s="21"/>
      <c r="G44" s="21"/>
      <c r="H44" s="21"/>
    </row>
    <row r="45" spans="1:8" ht="12.75">
      <c r="A45" s="21"/>
      <c r="B45" s="21"/>
      <c r="C45" s="3"/>
      <c r="D45" s="21"/>
      <c r="E45" s="21"/>
      <c r="F45" s="21"/>
      <c r="G45" s="21"/>
      <c r="H45" s="21"/>
    </row>
    <row r="46" spans="1:8" ht="12.75">
      <c r="A46" s="21"/>
      <c r="B46" s="21"/>
      <c r="C46" s="3"/>
      <c r="D46" s="21"/>
      <c r="E46" s="21"/>
      <c r="F46" s="21"/>
      <c r="G46" s="21"/>
      <c r="H46" s="21"/>
    </row>
    <row r="47" spans="1:8" ht="12.75">
      <c r="A47" s="21"/>
      <c r="B47" s="21"/>
      <c r="C47" s="3"/>
      <c r="D47" s="21"/>
      <c r="E47" s="21"/>
      <c r="F47" s="21"/>
      <c r="G47" s="21"/>
      <c r="H47" s="21"/>
    </row>
    <row r="48" spans="1:8" ht="12.75">
      <c r="A48" s="21"/>
      <c r="B48" s="21"/>
      <c r="C48" s="3"/>
      <c r="D48" s="21"/>
      <c r="E48" s="21"/>
      <c r="F48" s="21"/>
      <c r="G48" s="21"/>
      <c r="H48" s="21"/>
    </row>
    <row r="49" spans="1:8" ht="12.75">
      <c r="A49" s="21"/>
      <c r="B49" s="21"/>
      <c r="C49" s="3"/>
      <c r="D49" s="21"/>
      <c r="E49" s="21"/>
      <c r="F49" s="21"/>
      <c r="G49" s="21"/>
      <c r="H49" s="2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r:id="rId1"/>
  <headerFooter alignWithMargins="0">
    <oddFooter>&amp;CPage &amp;P&amp;RPOOL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Zeros="0" zoomScaleSheetLayoutView="75" zoomScalePageLayoutView="50" workbookViewId="0" topLeftCell="A10">
      <selection activeCell="F26" sqref="F26"/>
    </sheetView>
  </sheetViews>
  <sheetFormatPr defaultColWidth="9.00390625" defaultRowHeight="12.75"/>
  <cols>
    <col min="1" max="1" width="4.625" style="22" customWidth="1"/>
    <col min="2" max="2" width="21.25390625" style="22" customWidth="1"/>
    <col min="3" max="7" width="11.625" style="22" customWidth="1"/>
    <col min="8" max="16384" width="9.00390625" style="22" customWidth="1"/>
  </cols>
  <sheetData>
    <row r="1" spans="1:6" ht="12.75">
      <c r="A1" s="210" t="s">
        <v>267</v>
      </c>
      <c r="B1" s="212"/>
      <c r="C1" s="212"/>
      <c r="D1" s="212"/>
      <c r="E1" s="212"/>
      <c r="F1" s="212"/>
    </row>
    <row r="2" spans="1:6" ht="12.75">
      <c r="A2" s="210" t="s">
        <v>671</v>
      </c>
      <c r="B2" s="212"/>
      <c r="C2" s="212"/>
      <c r="D2" s="212"/>
      <c r="E2" s="212"/>
      <c r="F2" s="212"/>
    </row>
    <row r="3" spans="1:7" ht="12.75">
      <c r="A3" s="3"/>
      <c r="B3" s="3"/>
      <c r="D3" s="3"/>
      <c r="E3" s="3"/>
      <c r="F3" s="3"/>
      <c r="G3" s="21"/>
    </row>
    <row r="4" spans="1:7" ht="12.75">
      <c r="A4" s="3"/>
      <c r="B4" s="3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  <c r="G4" s="37"/>
    </row>
    <row r="5" spans="1:7" ht="12.75">
      <c r="A5" s="3"/>
      <c r="B5" s="3"/>
      <c r="C5" s="36" t="s">
        <v>2</v>
      </c>
      <c r="D5" s="36" t="s">
        <v>2</v>
      </c>
      <c r="E5" s="36" t="s">
        <v>2</v>
      </c>
      <c r="F5" s="36" t="s">
        <v>2</v>
      </c>
      <c r="G5" s="21"/>
    </row>
    <row r="6" spans="1:7" ht="12.75">
      <c r="A6" s="3"/>
      <c r="B6" s="3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  <c r="G6" s="37"/>
    </row>
    <row r="7" spans="1:7" ht="12.75">
      <c r="A7" s="3"/>
      <c r="B7" s="3"/>
      <c r="C7" s="7" t="s">
        <v>3</v>
      </c>
      <c r="D7" s="36" t="s">
        <v>194</v>
      </c>
      <c r="E7" s="36" t="s">
        <v>191</v>
      </c>
      <c r="F7" s="36" t="s">
        <v>191</v>
      </c>
      <c r="G7" s="21"/>
    </row>
    <row r="8" spans="1:7" ht="12.75">
      <c r="A8" s="3"/>
      <c r="B8" s="3"/>
      <c r="C8" s="3"/>
      <c r="D8" s="3"/>
      <c r="E8" s="3"/>
      <c r="F8" s="3"/>
      <c r="G8" s="21"/>
    </row>
    <row r="9" spans="1:7" s="53" customFormat="1" ht="12.75">
      <c r="A9" s="5" t="s">
        <v>4</v>
      </c>
      <c r="B9" s="5"/>
      <c r="C9" s="5"/>
      <c r="D9" s="5"/>
      <c r="E9" s="5"/>
      <c r="F9" s="5"/>
      <c r="G9" s="23"/>
    </row>
    <row r="10" spans="1:7" s="53" customFormat="1" ht="12.75">
      <c r="A10" s="5"/>
      <c r="B10" s="5"/>
      <c r="C10" s="5"/>
      <c r="D10" s="5"/>
      <c r="E10" s="5"/>
      <c r="F10" s="5"/>
      <c r="G10" s="23"/>
    </row>
    <row r="11" spans="1:7" ht="12.75">
      <c r="A11" s="5">
        <v>511</v>
      </c>
      <c r="B11" s="3" t="s">
        <v>638</v>
      </c>
      <c r="C11" s="3">
        <v>0</v>
      </c>
      <c r="D11" s="161">
        <v>853.91</v>
      </c>
      <c r="E11" s="158">
        <v>24960</v>
      </c>
      <c r="F11" s="158">
        <v>1000</v>
      </c>
      <c r="G11" s="21"/>
    </row>
    <row r="12" spans="1:7" ht="12.75">
      <c r="A12" s="5">
        <v>514</v>
      </c>
      <c r="B12" s="3" t="s">
        <v>23</v>
      </c>
      <c r="C12" s="3"/>
      <c r="D12" s="161">
        <v>65.32</v>
      </c>
      <c r="E12" s="158">
        <v>1193</v>
      </c>
      <c r="F12" s="158">
        <v>76.5</v>
      </c>
      <c r="G12" s="21"/>
    </row>
    <row r="13" spans="1:7" ht="12.75">
      <c r="A13" s="5">
        <v>521</v>
      </c>
      <c r="B13" s="3" t="s">
        <v>263</v>
      </c>
      <c r="C13" s="3"/>
      <c r="D13" s="161"/>
      <c r="E13" s="158">
        <v>2000</v>
      </c>
      <c r="F13" s="158">
        <v>500</v>
      </c>
      <c r="G13" s="21"/>
    </row>
    <row r="14" spans="1:7" ht="12.75">
      <c r="A14" s="5">
        <v>522</v>
      </c>
      <c r="B14" s="3" t="s">
        <v>219</v>
      </c>
      <c r="C14" s="3"/>
      <c r="D14" s="161"/>
      <c r="E14" s="158">
        <v>500</v>
      </c>
      <c r="F14" s="158">
        <v>0</v>
      </c>
      <c r="G14" s="21"/>
    </row>
    <row r="15" spans="1:7" ht="12.75">
      <c r="A15" s="5">
        <v>524</v>
      </c>
      <c r="B15" s="3" t="s">
        <v>266</v>
      </c>
      <c r="C15" s="3"/>
      <c r="D15" s="161">
        <v>367.8</v>
      </c>
      <c r="E15" s="158">
        <v>1000</v>
      </c>
      <c r="F15" s="158">
        <v>1000</v>
      </c>
      <c r="G15" s="21"/>
    </row>
    <row r="16" spans="1:7" ht="12.75">
      <c r="A16" s="5">
        <v>532</v>
      </c>
      <c r="B16" s="3" t="s">
        <v>264</v>
      </c>
      <c r="C16" s="3"/>
      <c r="D16" s="161">
        <v>51062.5</v>
      </c>
      <c r="E16" s="158">
        <v>5000</v>
      </c>
      <c r="F16" s="158">
        <v>25000</v>
      </c>
      <c r="G16" s="21"/>
    </row>
    <row r="17" spans="1:7" ht="12.75">
      <c r="A17" s="5">
        <v>539</v>
      </c>
      <c r="B17" s="3" t="s">
        <v>317</v>
      </c>
      <c r="C17" s="3"/>
      <c r="D17" s="161">
        <v>0</v>
      </c>
      <c r="E17" s="158">
        <v>1000</v>
      </c>
      <c r="F17" s="158">
        <v>0</v>
      </c>
      <c r="G17" s="21"/>
    </row>
    <row r="18" spans="1:7" ht="12.75">
      <c r="A18" s="5">
        <v>553</v>
      </c>
      <c r="B18" s="3" t="s">
        <v>630</v>
      </c>
      <c r="C18" s="3">
        <v>0</v>
      </c>
      <c r="D18" s="161">
        <v>0</v>
      </c>
      <c r="E18" s="158">
        <v>2000</v>
      </c>
      <c r="F18" s="158">
        <v>0</v>
      </c>
      <c r="G18" s="21"/>
    </row>
    <row r="19" spans="1:7" ht="12" customHeight="1">
      <c r="A19" s="3"/>
      <c r="B19" s="3"/>
      <c r="C19" s="3"/>
      <c r="E19" s="3"/>
      <c r="G19" s="21"/>
    </row>
    <row r="20" spans="1:7" s="53" customFormat="1" ht="18.75" customHeight="1">
      <c r="A20" s="5" t="s">
        <v>30</v>
      </c>
      <c r="B20" s="5"/>
      <c r="C20" s="136">
        <f>SUM(C11:C18)</f>
        <v>0</v>
      </c>
      <c r="D20" s="136">
        <f>SUM(D11:D18)</f>
        <v>52349.53</v>
      </c>
      <c r="E20" s="5">
        <f>SUM(E11:E18)</f>
        <v>37653</v>
      </c>
      <c r="F20" s="5">
        <f>SUM(F11:F18)</f>
        <v>27576.5</v>
      </c>
      <c r="G20" s="23"/>
    </row>
    <row r="21" spans="1:8" ht="12.75">
      <c r="A21" s="23"/>
      <c r="B21" s="21" t="s">
        <v>11</v>
      </c>
      <c r="C21" s="5"/>
      <c r="D21" s="23"/>
      <c r="E21" s="51">
        <v>0</v>
      </c>
      <c r="F21" s="51">
        <v>0</v>
      </c>
      <c r="H21" s="21"/>
    </row>
    <row r="22" spans="1:8" ht="18" customHeight="1">
      <c r="A22" s="23" t="s">
        <v>12</v>
      </c>
      <c r="B22" s="21"/>
      <c r="C22" s="25">
        <f>SUM(C20:C20)</f>
        <v>0</v>
      </c>
      <c r="D22" s="85">
        <v>0</v>
      </c>
      <c r="E22" s="85">
        <v>0</v>
      </c>
      <c r="F22" s="85">
        <v>0</v>
      </c>
      <c r="H22" s="21"/>
    </row>
    <row r="23" spans="1:7" ht="12.75">
      <c r="A23" s="21"/>
      <c r="B23" s="21"/>
      <c r="C23" s="21"/>
      <c r="D23" s="21"/>
      <c r="E23" s="21"/>
      <c r="F23" s="21"/>
      <c r="G23" s="21"/>
    </row>
    <row r="24" spans="1:7" s="53" customFormat="1" ht="12.75">
      <c r="A24" s="23" t="s">
        <v>280</v>
      </c>
      <c r="C24" s="23"/>
      <c r="D24" s="23"/>
      <c r="E24" s="23"/>
      <c r="F24" s="53" t="s">
        <v>7</v>
      </c>
      <c r="G24" s="23"/>
    </row>
    <row r="25" spans="1:7" ht="12.75">
      <c r="A25" s="3" t="s">
        <v>42</v>
      </c>
      <c r="B25" s="21"/>
      <c r="C25" s="21">
        <v>0</v>
      </c>
      <c r="D25" s="23">
        <v>75404.71</v>
      </c>
      <c r="E25" s="23" t="s">
        <v>7</v>
      </c>
      <c r="F25" s="23">
        <v>56156.84</v>
      </c>
      <c r="G25" s="21"/>
    </row>
    <row r="26" spans="1:7" ht="12.75">
      <c r="A26" s="5">
        <v>401</v>
      </c>
      <c r="B26" s="21" t="s">
        <v>631</v>
      </c>
      <c r="C26" s="21"/>
      <c r="D26" s="21">
        <v>32605</v>
      </c>
      <c r="E26" s="21">
        <v>33000</v>
      </c>
      <c r="F26" s="21">
        <v>34000</v>
      </c>
      <c r="G26" s="21"/>
    </row>
    <row r="27" spans="1:7" ht="12.75">
      <c r="A27" s="23">
        <v>461</v>
      </c>
      <c r="B27" s="21" t="s">
        <v>632</v>
      </c>
      <c r="C27" s="32">
        <v>0</v>
      </c>
      <c r="D27" s="168">
        <v>0</v>
      </c>
      <c r="E27" s="169">
        <v>10000</v>
      </c>
      <c r="F27" s="169">
        <v>0</v>
      </c>
      <c r="G27" s="21"/>
    </row>
    <row r="28" spans="1:7" ht="12.75">
      <c r="A28" s="23"/>
      <c r="B28" s="21"/>
      <c r="C28" s="21"/>
      <c r="D28" s="21"/>
      <c r="E28" s="23"/>
      <c r="F28" s="23"/>
      <c r="G28" s="21"/>
    </row>
    <row r="29" spans="1:7" ht="12.75">
      <c r="A29" s="23" t="s">
        <v>16</v>
      </c>
      <c r="B29" s="5"/>
      <c r="C29" s="21">
        <v>0</v>
      </c>
      <c r="D29" s="21">
        <f>SUM(D25:D27)</f>
        <v>108009.71</v>
      </c>
      <c r="E29" s="21">
        <f>SUM(E25:E27)</f>
        <v>43000</v>
      </c>
      <c r="F29" s="21">
        <f>SUM(F25:F27)</f>
        <v>90156.84</v>
      </c>
      <c r="G29" s="21"/>
    </row>
    <row r="30" spans="1:7" ht="12.75">
      <c r="A30" s="5"/>
      <c r="B30" s="3" t="s">
        <v>17</v>
      </c>
      <c r="C30" s="32">
        <f>C20</f>
        <v>0</v>
      </c>
      <c r="D30" s="32">
        <v>52350</v>
      </c>
      <c r="E30" s="32">
        <v>37653</v>
      </c>
      <c r="F30" s="32">
        <v>27577</v>
      </c>
      <c r="G30" s="21"/>
    </row>
    <row r="31" spans="1:7" ht="12.75">
      <c r="A31" s="5"/>
      <c r="B31" s="3"/>
      <c r="C31" s="21"/>
      <c r="D31" s="21"/>
      <c r="E31" s="21"/>
      <c r="F31" s="21"/>
      <c r="G31" s="21"/>
    </row>
    <row r="32" spans="1:7" ht="15">
      <c r="A32" s="5" t="s">
        <v>18</v>
      </c>
      <c r="B32" s="5"/>
      <c r="C32" s="137">
        <f>C29-C30</f>
        <v>0</v>
      </c>
      <c r="D32" s="137">
        <f>D29-D30</f>
        <v>55659.71000000001</v>
      </c>
      <c r="E32" s="138">
        <f>E29-E30</f>
        <v>5347</v>
      </c>
      <c r="F32" s="207">
        <f>F29-F30</f>
        <v>62579.84</v>
      </c>
      <c r="G32" s="21"/>
    </row>
    <row r="33" spans="1:7" ht="12.75">
      <c r="A33" s="5"/>
      <c r="B33" s="5"/>
      <c r="C33" s="21"/>
      <c r="D33" s="21"/>
      <c r="E33" s="21"/>
      <c r="F33" s="23"/>
      <c r="G33" s="21"/>
    </row>
    <row r="34" spans="1:9" ht="12.75">
      <c r="A34" s="21"/>
      <c r="B34" s="23"/>
      <c r="C34" s="21"/>
      <c r="D34" s="21"/>
      <c r="E34" s="21" t="s">
        <v>7</v>
      </c>
      <c r="F34" s="21" t="s">
        <v>7</v>
      </c>
      <c r="G34" s="21"/>
      <c r="H34" s="21"/>
      <c r="I34" s="21"/>
    </row>
    <row r="35" spans="1:9" ht="12.75">
      <c r="A35" s="21"/>
      <c r="B35" s="23"/>
      <c r="C35" s="21"/>
      <c r="D35" s="21"/>
      <c r="E35" s="21"/>
      <c r="F35" s="21"/>
      <c r="G35" s="21"/>
      <c r="H35" s="21"/>
      <c r="I35" s="21"/>
    </row>
    <row r="36" spans="1:9" ht="12.75">
      <c r="A36" s="21"/>
      <c r="B36" s="23" t="s">
        <v>7</v>
      </c>
      <c r="C36" s="214"/>
      <c r="D36" s="214"/>
      <c r="E36" s="21"/>
      <c r="F36" s="21"/>
      <c r="G36" s="21"/>
      <c r="H36" s="23"/>
      <c r="I36" s="21"/>
    </row>
    <row r="37" spans="1:9" ht="12.75">
      <c r="A37" s="21"/>
      <c r="B37" s="21"/>
      <c r="C37" s="21"/>
      <c r="D37" s="21"/>
      <c r="E37" s="23"/>
      <c r="F37" s="21"/>
      <c r="G37" s="21"/>
      <c r="H37" s="213"/>
      <c r="I37" s="213"/>
    </row>
    <row r="38" spans="1:7" s="53" customFormat="1" ht="12.75">
      <c r="A38" s="23"/>
      <c r="B38" s="23"/>
      <c r="C38" s="23"/>
      <c r="D38" s="23"/>
      <c r="E38" s="23"/>
      <c r="F38" s="23"/>
      <c r="G38" s="23"/>
    </row>
    <row r="39" spans="1:7" s="53" customFormat="1" ht="12.75">
      <c r="A39" s="23"/>
      <c r="B39" s="23"/>
      <c r="C39" s="23"/>
      <c r="D39" s="23"/>
      <c r="E39" s="23"/>
      <c r="F39" s="23"/>
      <c r="G39" s="23"/>
    </row>
    <row r="40" spans="1:7" s="53" customFormat="1" ht="12.75">
      <c r="A40" s="23"/>
      <c r="B40" s="23"/>
      <c r="C40" s="23"/>
      <c r="D40" s="23"/>
      <c r="E40" s="23"/>
      <c r="F40" s="23"/>
      <c r="G40" s="23"/>
    </row>
    <row r="41" spans="1:7" ht="12.75">
      <c r="A41" s="21"/>
      <c r="B41" s="21"/>
      <c r="C41" s="21"/>
      <c r="D41" s="21"/>
      <c r="E41" s="21"/>
      <c r="F41" s="21"/>
      <c r="G41" s="21"/>
    </row>
    <row r="42" spans="1:7" ht="12.75">
      <c r="A42" s="21"/>
      <c r="B42" s="21"/>
      <c r="C42" s="21"/>
      <c r="D42" s="21"/>
      <c r="E42" s="21"/>
      <c r="F42" s="21"/>
      <c r="G42" s="21"/>
    </row>
    <row r="43" spans="1:7" s="53" customFormat="1" ht="12.75">
      <c r="A43" s="23"/>
      <c r="B43" s="23"/>
      <c r="C43" s="23"/>
      <c r="D43" s="23"/>
      <c r="E43" s="23"/>
      <c r="F43" s="23"/>
      <c r="G43" s="23"/>
    </row>
    <row r="44" spans="1:7" ht="12.75">
      <c r="A44" s="21"/>
      <c r="B44" s="21"/>
      <c r="C44" s="21"/>
      <c r="D44" s="21"/>
      <c r="E44" s="21"/>
      <c r="F44" s="21"/>
      <c r="G44" s="21"/>
    </row>
    <row r="45" spans="1:7" ht="12.75">
      <c r="A45" s="21"/>
      <c r="B45" s="22" t="s">
        <v>7</v>
      </c>
      <c r="E45" s="22" t="s">
        <v>7</v>
      </c>
      <c r="F45" s="21"/>
      <c r="G45" s="21"/>
    </row>
  </sheetData>
  <sheetProtection/>
  <mergeCells count="4">
    <mergeCell ref="C36:D36"/>
    <mergeCell ref="H37:I37"/>
    <mergeCell ref="A1:F1"/>
    <mergeCell ref="A2:F2"/>
  </mergeCells>
  <printOptions/>
  <pageMargins left="0.75" right="0.75" top="1" bottom="1" header="0.5" footer="0.5"/>
  <pageSetup horizontalDpi="4800" verticalDpi="4800" orientation="portrait" r:id="rId1"/>
  <headerFooter alignWithMargins="0">
    <oddFooter>&amp;CPage &amp;P&amp;REconomic Development</oddFooter>
  </headerFooter>
  <rowBreaks count="1" manualBreakCount="1">
    <brk id="32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1"/>
  <sheetViews>
    <sheetView showGridLines="0" zoomScaleSheetLayoutView="100" zoomScalePageLayoutView="50" workbookViewId="0" topLeftCell="A85">
      <selection activeCell="F14" sqref="F14"/>
    </sheetView>
  </sheetViews>
  <sheetFormatPr defaultColWidth="9.00390625" defaultRowHeight="12.75"/>
  <cols>
    <col min="1" max="1" width="4.625" style="22" customWidth="1"/>
    <col min="2" max="2" width="22.625" style="22" customWidth="1"/>
    <col min="3" max="7" width="11.625" style="22" customWidth="1"/>
    <col min="8" max="16384" width="9.00390625" style="22" customWidth="1"/>
  </cols>
  <sheetData>
    <row r="1" spans="1:7" s="53" customFormat="1" ht="12.75">
      <c r="A1" s="210" t="s">
        <v>267</v>
      </c>
      <c r="B1" s="211"/>
      <c r="C1" s="211"/>
      <c r="D1" s="211"/>
      <c r="E1" s="211"/>
      <c r="F1" s="211"/>
      <c r="G1" s="23"/>
    </row>
    <row r="2" spans="1:7" ht="12.75">
      <c r="A2" s="210" t="s">
        <v>453</v>
      </c>
      <c r="B2" s="211"/>
      <c r="C2" s="211"/>
      <c r="D2" s="211"/>
      <c r="E2" s="211"/>
      <c r="F2" s="211"/>
      <c r="G2" s="21"/>
    </row>
    <row r="3" spans="1:7" s="53" customFormat="1" ht="12.75">
      <c r="A3" s="5"/>
      <c r="B3" s="5"/>
      <c r="D3" s="5"/>
      <c r="E3" s="5"/>
      <c r="F3" s="5"/>
      <c r="G3" s="23"/>
    </row>
    <row r="4" spans="1:7" ht="12.75">
      <c r="A4" s="3"/>
      <c r="B4" s="3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  <c r="G4" s="37"/>
    </row>
    <row r="5" spans="1:7" ht="12.75">
      <c r="A5" s="3"/>
      <c r="B5" s="3"/>
      <c r="C5" s="36" t="s">
        <v>2</v>
      </c>
      <c r="D5" s="36" t="s">
        <v>2</v>
      </c>
      <c r="E5" s="36" t="s">
        <v>2</v>
      </c>
      <c r="F5" s="36" t="s">
        <v>2</v>
      </c>
      <c r="G5" s="21"/>
    </row>
    <row r="6" spans="1:7" ht="12.75">
      <c r="A6" s="3"/>
      <c r="B6" s="3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  <c r="G6" s="37"/>
    </row>
    <row r="7" spans="1:7" ht="12.75">
      <c r="A7" s="3"/>
      <c r="B7" s="3"/>
      <c r="C7" s="7" t="s">
        <v>3</v>
      </c>
      <c r="D7" s="36" t="s">
        <v>194</v>
      </c>
      <c r="E7" s="36" t="s">
        <v>191</v>
      </c>
      <c r="F7" s="36" t="s">
        <v>191</v>
      </c>
      <c r="G7" s="21"/>
    </row>
    <row r="8" spans="1:7" ht="12.75">
      <c r="A8" s="3"/>
      <c r="B8" s="3"/>
      <c r="C8" s="3"/>
      <c r="D8" s="3"/>
      <c r="E8" s="3"/>
      <c r="F8" s="3"/>
      <c r="G8" s="21"/>
    </row>
    <row r="9" spans="1:7" s="53" customFormat="1" ht="12.75">
      <c r="A9" s="5" t="s">
        <v>4</v>
      </c>
      <c r="B9" s="5"/>
      <c r="C9" s="33"/>
      <c r="D9" s="5"/>
      <c r="E9" s="5"/>
      <c r="F9" s="5"/>
      <c r="G9" s="23"/>
    </row>
    <row r="10" spans="1:7" ht="12.75">
      <c r="A10" s="3">
        <v>511</v>
      </c>
      <c r="B10" s="3" t="s">
        <v>20</v>
      </c>
      <c r="C10" s="24">
        <v>51781.08</v>
      </c>
      <c r="D10" s="161">
        <v>47229.93</v>
      </c>
      <c r="E10" s="161">
        <v>49970</v>
      </c>
      <c r="F10" s="161">
        <v>37873</v>
      </c>
      <c r="G10" s="21" t="s">
        <v>7</v>
      </c>
    </row>
    <row r="11" spans="1:7" ht="12.75">
      <c r="A11" s="3">
        <v>513</v>
      </c>
      <c r="B11" s="3" t="s">
        <v>22</v>
      </c>
      <c r="C11" s="24">
        <v>9660.13</v>
      </c>
      <c r="D11" s="161">
        <v>12819.16</v>
      </c>
      <c r="E11" s="161">
        <v>7400</v>
      </c>
      <c r="F11" s="161">
        <v>7485</v>
      </c>
      <c r="G11" s="21" t="s">
        <v>7</v>
      </c>
    </row>
    <row r="12" spans="1:7" ht="12.75">
      <c r="A12" s="3">
        <v>514</v>
      </c>
      <c r="B12" s="3" t="s">
        <v>23</v>
      </c>
      <c r="C12" s="24">
        <v>4190.64</v>
      </c>
      <c r="D12" s="161">
        <v>3725.33</v>
      </c>
      <c r="E12" s="161">
        <v>3823</v>
      </c>
      <c r="F12" s="161">
        <v>2897.28</v>
      </c>
      <c r="G12" s="21" t="s">
        <v>7</v>
      </c>
    </row>
    <row r="13" spans="1:7" ht="12.75">
      <c r="A13" s="3">
        <v>515</v>
      </c>
      <c r="B13" s="3" t="s">
        <v>299</v>
      </c>
      <c r="C13" s="24">
        <v>2385.12</v>
      </c>
      <c r="D13" s="161">
        <v>1674.91</v>
      </c>
      <c r="E13" s="161">
        <v>2499</v>
      </c>
      <c r="F13" s="161">
        <v>1035</v>
      </c>
      <c r="G13" s="21" t="s">
        <v>7</v>
      </c>
    </row>
    <row r="14" spans="1:7" ht="12.75">
      <c r="A14" s="3">
        <v>521</v>
      </c>
      <c r="B14" s="3" t="s">
        <v>263</v>
      </c>
      <c r="C14" s="24">
        <v>2710</v>
      </c>
      <c r="D14" s="161">
        <v>2445</v>
      </c>
      <c r="E14" s="161">
        <v>2500</v>
      </c>
      <c r="F14" s="161">
        <v>2500</v>
      </c>
      <c r="G14" s="21" t="s">
        <v>7</v>
      </c>
    </row>
    <row r="15" spans="1:7" ht="12.75">
      <c r="A15" s="3">
        <v>522</v>
      </c>
      <c r="B15" s="3" t="s">
        <v>219</v>
      </c>
      <c r="C15" s="24">
        <v>1737.28</v>
      </c>
      <c r="D15" s="161">
        <v>1675.31</v>
      </c>
      <c r="E15" s="161">
        <v>1785</v>
      </c>
      <c r="F15" s="161">
        <v>1785</v>
      </c>
      <c r="G15" s="21" t="s">
        <v>7</v>
      </c>
    </row>
    <row r="16" spans="1:7" ht="13.5" thickBot="1">
      <c r="A16" s="3">
        <v>523</v>
      </c>
      <c r="B16" s="3" t="s">
        <v>43</v>
      </c>
      <c r="C16" s="24">
        <v>446.9</v>
      </c>
      <c r="D16" s="161">
        <v>76.78</v>
      </c>
      <c r="E16" s="161">
        <v>750</v>
      </c>
      <c r="F16" s="161">
        <v>500</v>
      </c>
      <c r="G16" s="21" t="s">
        <v>7</v>
      </c>
    </row>
    <row r="17" spans="1:15" ht="12.75">
      <c r="A17" s="3">
        <v>524</v>
      </c>
      <c r="B17" s="3" t="s">
        <v>266</v>
      </c>
      <c r="C17" s="24">
        <v>705.7</v>
      </c>
      <c r="D17" s="161">
        <v>445.85</v>
      </c>
      <c r="E17" s="161">
        <v>600</v>
      </c>
      <c r="F17" s="161">
        <v>500</v>
      </c>
      <c r="G17" s="21" t="s">
        <v>7</v>
      </c>
      <c r="H17" s="179"/>
      <c r="I17" s="180"/>
      <c r="J17" s="180"/>
      <c r="K17" s="180"/>
      <c r="L17" s="180"/>
      <c r="M17" s="180"/>
      <c r="N17" s="181"/>
      <c r="O17" s="73"/>
    </row>
    <row r="18" spans="1:15" ht="12.75">
      <c r="A18" s="3">
        <v>525</v>
      </c>
      <c r="B18" s="3" t="s">
        <v>27</v>
      </c>
      <c r="C18" s="24">
        <v>11654.19</v>
      </c>
      <c r="D18" s="161">
        <v>10468.95</v>
      </c>
      <c r="E18" s="161">
        <v>12819</v>
      </c>
      <c r="F18" s="161">
        <v>11516</v>
      </c>
      <c r="G18" s="21" t="s">
        <v>7</v>
      </c>
      <c r="H18" s="182"/>
      <c r="I18" s="73"/>
      <c r="J18" s="73"/>
      <c r="K18" s="73"/>
      <c r="L18" s="73"/>
      <c r="M18" s="73"/>
      <c r="N18" s="183"/>
      <c r="O18" s="73"/>
    </row>
    <row r="19" spans="1:15" ht="12.75">
      <c r="A19" s="3">
        <v>526</v>
      </c>
      <c r="B19" s="3" t="s">
        <v>36</v>
      </c>
      <c r="C19" s="24">
        <v>9793.26</v>
      </c>
      <c r="D19" s="161">
        <v>10165.05</v>
      </c>
      <c r="E19" s="161">
        <v>11090</v>
      </c>
      <c r="F19" s="161">
        <v>11245</v>
      </c>
      <c r="G19" s="21" t="s">
        <v>7</v>
      </c>
      <c r="H19" s="182"/>
      <c r="I19" s="184" t="s">
        <v>645</v>
      </c>
      <c r="J19" s="73"/>
      <c r="K19" s="73"/>
      <c r="L19" s="184" t="s">
        <v>663</v>
      </c>
      <c r="M19" s="73"/>
      <c r="N19" s="183"/>
      <c r="O19" s="73"/>
    </row>
    <row r="20" spans="1:15" ht="12.75">
      <c r="A20" s="3">
        <v>532</v>
      </c>
      <c r="B20" s="3" t="s">
        <v>264</v>
      </c>
      <c r="C20" s="24">
        <v>50626.24</v>
      </c>
      <c r="D20" s="161">
        <v>45836.31</v>
      </c>
      <c r="E20" s="161">
        <v>60000</v>
      </c>
      <c r="F20" s="161">
        <v>75000</v>
      </c>
      <c r="G20" s="21" t="s">
        <v>7</v>
      </c>
      <c r="H20" s="182"/>
      <c r="I20" s="73" t="s">
        <v>564</v>
      </c>
      <c r="J20" s="73" t="s">
        <v>565</v>
      </c>
      <c r="K20" s="73"/>
      <c r="L20" s="73" t="s">
        <v>566</v>
      </c>
      <c r="M20" s="73" t="s">
        <v>567</v>
      </c>
      <c r="N20" s="183"/>
      <c r="O20" s="73"/>
    </row>
    <row r="21" spans="1:15" ht="12.75">
      <c r="A21" s="3">
        <v>553</v>
      </c>
      <c r="B21" s="3" t="s">
        <v>277</v>
      </c>
      <c r="C21" s="24">
        <v>62629.5</v>
      </c>
      <c r="D21" s="161">
        <v>0</v>
      </c>
      <c r="E21" s="161">
        <v>0</v>
      </c>
      <c r="F21" s="161">
        <v>12000</v>
      </c>
      <c r="G21" s="21" t="s">
        <v>7</v>
      </c>
      <c r="H21" s="182" t="s">
        <v>701</v>
      </c>
      <c r="I21" s="73">
        <v>0</v>
      </c>
      <c r="J21" s="73">
        <v>0</v>
      </c>
      <c r="K21" s="73"/>
      <c r="L21" s="73">
        <v>0</v>
      </c>
      <c r="M21" s="73">
        <v>0</v>
      </c>
      <c r="N21" s="183"/>
      <c r="O21" s="73"/>
    </row>
    <row r="22" spans="1:15" ht="12.75">
      <c r="A22" s="86">
        <v>554</v>
      </c>
      <c r="B22" s="3" t="s">
        <v>300</v>
      </c>
      <c r="C22" s="24">
        <v>0</v>
      </c>
      <c r="D22" s="161">
        <v>0</v>
      </c>
      <c r="E22" s="161">
        <v>0</v>
      </c>
      <c r="F22" s="161">
        <v>0</v>
      </c>
      <c r="G22" s="21" t="s">
        <v>7</v>
      </c>
      <c r="H22" s="182" t="s">
        <v>602</v>
      </c>
      <c r="I22" s="73">
        <v>0</v>
      </c>
      <c r="J22" s="73">
        <v>0</v>
      </c>
      <c r="K22" s="73"/>
      <c r="L22" s="73">
        <v>0</v>
      </c>
      <c r="M22" s="73">
        <v>0</v>
      </c>
      <c r="N22" s="183"/>
      <c r="O22" s="73"/>
    </row>
    <row r="23" spans="1:15" ht="12.75">
      <c r="A23" s="3">
        <v>561</v>
      </c>
      <c r="B23" s="3" t="s">
        <v>265</v>
      </c>
      <c r="C23" s="24">
        <v>24758.38</v>
      </c>
      <c r="D23" s="161">
        <v>30526</v>
      </c>
      <c r="E23" s="161">
        <v>30526</v>
      </c>
      <c r="F23" s="161"/>
      <c r="G23" s="21"/>
      <c r="H23" s="182" t="s">
        <v>601</v>
      </c>
      <c r="I23" s="73">
        <v>0</v>
      </c>
      <c r="J23" s="73">
        <v>0</v>
      </c>
      <c r="K23" s="73"/>
      <c r="L23" s="73">
        <v>0</v>
      </c>
      <c r="M23" s="73">
        <v>0</v>
      </c>
      <c r="N23" s="183"/>
      <c r="O23" s="73"/>
    </row>
    <row r="24" spans="1:15" ht="12.75">
      <c r="A24" s="86">
        <v>562</v>
      </c>
      <c r="B24" s="3" t="s">
        <v>195</v>
      </c>
      <c r="C24" s="30">
        <v>719.5</v>
      </c>
      <c r="D24" s="167">
        <v>4315</v>
      </c>
      <c r="E24" s="167">
        <v>4315</v>
      </c>
      <c r="F24" s="167">
        <v>0</v>
      </c>
      <c r="G24" s="21"/>
      <c r="H24" s="182" t="s">
        <v>600</v>
      </c>
      <c r="I24" s="73">
        <v>0</v>
      </c>
      <c r="J24" s="73">
        <v>0</v>
      </c>
      <c r="K24" s="73"/>
      <c r="L24" s="73">
        <v>0</v>
      </c>
      <c r="M24" s="73">
        <v>0</v>
      </c>
      <c r="N24" s="183"/>
      <c r="O24" s="73"/>
    </row>
    <row r="25" spans="1:15" ht="12.75">
      <c r="A25" s="86"/>
      <c r="B25" s="3" t="s">
        <v>704</v>
      </c>
      <c r="C25" s="30"/>
      <c r="D25" s="167"/>
      <c r="E25" s="167"/>
      <c r="F25" s="167">
        <v>30000</v>
      </c>
      <c r="G25" s="21"/>
      <c r="H25" s="182" t="s">
        <v>599</v>
      </c>
      <c r="I25" s="73">
        <v>0</v>
      </c>
      <c r="J25" s="73">
        <v>0</v>
      </c>
      <c r="K25" s="73"/>
      <c r="L25" s="73"/>
      <c r="M25" s="73"/>
      <c r="N25" s="183"/>
      <c r="O25" s="73"/>
    </row>
    <row r="26" spans="1:15" s="53" customFormat="1" ht="12.75">
      <c r="A26" s="5" t="s">
        <v>30</v>
      </c>
      <c r="B26" s="5"/>
      <c r="C26" s="5">
        <f>SUM(C10:C24)</f>
        <v>233797.91999999998</v>
      </c>
      <c r="D26" s="5">
        <f>SUM(D10:D24)</f>
        <v>171403.58000000002</v>
      </c>
      <c r="E26" s="5">
        <f>SUM(E10:E24)</f>
        <v>188077</v>
      </c>
      <c r="F26" s="5">
        <f>SUM(F10:F25)</f>
        <v>194336.28</v>
      </c>
      <c r="G26" s="23"/>
      <c r="H26" s="185"/>
      <c r="I26" s="71"/>
      <c r="J26" s="71"/>
      <c r="K26" s="71"/>
      <c r="L26" s="71">
        <v>0</v>
      </c>
      <c r="M26" s="71">
        <v>0</v>
      </c>
      <c r="N26" s="186" t="s">
        <v>7</v>
      </c>
      <c r="O26" s="71"/>
    </row>
    <row r="27" spans="1:15" ht="12.75">
      <c r="A27" s="23"/>
      <c r="B27" s="21" t="s">
        <v>11</v>
      </c>
      <c r="C27" s="5">
        <v>0</v>
      </c>
      <c r="D27" s="23">
        <v>0</v>
      </c>
      <c r="E27" s="51">
        <v>0</v>
      </c>
      <c r="F27" s="51">
        <v>0</v>
      </c>
      <c r="H27" s="187" t="s">
        <v>568</v>
      </c>
      <c r="I27" s="73">
        <f>SUM(I21:I26)</f>
        <v>0</v>
      </c>
      <c r="J27" s="73">
        <v>0</v>
      </c>
      <c r="K27" s="73"/>
      <c r="L27" s="73">
        <v>0</v>
      </c>
      <c r="M27" s="73">
        <v>0</v>
      </c>
      <c r="N27" s="183"/>
      <c r="O27" s="73"/>
    </row>
    <row r="28" spans="1:15" ht="18" customHeight="1">
      <c r="A28" s="23" t="s">
        <v>12</v>
      </c>
      <c r="B28" s="21"/>
      <c r="C28" s="25">
        <f>SUM(C26:C27)</f>
        <v>233797.91999999998</v>
      </c>
      <c r="D28" s="85">
        <f>SUM(D26:D27)</f>
        <v>171403.58000000002</v>
      </c>
      <c r="E28" s="85">
        <f>SUM(E26:E27)</f>
        <v>188077</v>
      </c>
      <c r="F28" s="85">
        <f>SUM(F26:F27)</f>
        <v>194336.28</v>
      </c>
      <c r="G28" s="53" t="s">
        <v>7</v>
      </c>
      <c r="H28" s="187" t="s">
        <v>7</v>
      </c>
      <c r="I28" s="73"/>
      <c r="J28" s="73"/>
      <c r="K28" s="73"/>
      <c r="L28" s="73"/>
      <c r="M28" s="73"/>
      <c r="N28" s="183"/>
      <c r="O28" s="73"/>
    </row>
    <row r="29" spans="1:14" ht="12.75">
      <c r="A29" s="3"/>
      <c r="B29" s="3"/>
      <c r="C29" s="3"/>
      <c r="E29" s="3"/>
      <c r="G29" s="21"/>
      <c r="H29" s="182"/>
      <c r="I29" s="73"/>
      <c r="J29" s="73"/>
      <c r="K29" s="73"/>
      <c r="L29" s="73"/>
      <c r="M29" s="73"/>
      <c r="N29" s="183"/>
    </row>
    <row r="30" spans="1:14" s="53" customFormat="1" ht="13.5" thickBot="1">
      <c r="A30" s="5" t="s">
        <v>13</v>
      </c>
      <c r="B30" s="5"/>
      <c r="C30" s="5"/>
      <c r="E30" s="5"/>
      <c r="G30" s="23"/>
      <c r="H30" s="188"/>
      <c r="I30" s="189"/>
      <c r="J30" s="189"/>
      <c r="K30" s="189"/>
      <c r="L30" s="189"/>
      <c r="M30" s="189"/>
      <c r="N30" s="190"/>
    </row>
    <row r="31" spans="1:7" s="53" customFormat="1" ht="12.75">
      <c r="A31" s="3" t="s">
        <v>42</v>
      </c>
      <c r="B31" s="5"/>
      <c r="C31" s="3" t="s">
        <v>7</v>
      </c>
      <c r="D31" s="53">
        <v>0</v>
      </c>
      <c r="E31" s="53">
        <v>0</v>
      </c>
      <c r="F31" s="53">
        <v>0</v>
      </c>
      <c r="G31" s="23"/>
    </row>
    <row r="32" spans="1:7" ht="12.75">
      <c r="A32" s="3">
        <v>411</v>
      </c>
      <c r="B32" s="3" t="s">
        <v>399</v>
      </c>
      <c r="C32" s="3">
        <v>169823.78</v>
      </c>
      <c r="D32" s="159">
        <v>170118.42</v>
      </c>
      <c r="E32" s="159">
        <v>150000</v>
      </c>
      <c r="F32" s="159">
        <v>163000</v>
      </c>
      <c r="G32" s="21"/>
    </row>
    <row r="33" spans="1:7" ht="12.75">
      <c r="A33" s="3"/>
      <c r="B33" s="3" t="s">
        <v>400</v>
      </c>
      <c r="C33" s="3">
        <v>0</v>
      </c>
      <c r="D33" s="159">
        <v>0</v>
      </c>
      <c r="E33" s="159" t="s">
        <v>7</v>
      </c>
      <c r="F33" s="159">
        <v>0</v>
      </c>
      <c r="G33" s="21"/>
    </row>
    <row r="34" spans="1:7" ht="12.75">
      <c r="A34" s="3">
        <v>420</v>
      </c>
      <c r="B34" s="3" t="s">
        <v>301</v>
      </c>
      <c r="C34" s="3">
        <v>26140.61</v>
      </c>
      <c r="D34" s="161">
        <v>25192.99</v>
      </c>
      <c r="E34" s="161">
        <v>25000</v>
      </c>
      <c r="F34" s="161">
        <v>25000</v>
      </c>
      <c r="G34" s="21"/>
    </row>
    <row r="35" spans="1:7" ht="12.75">
      <c r="A35" s="3">
        <v>423</v>
      </c>
      <c r="B35" s="3" t="s">
        <v>281</v>
      </c>
      <c r="C35" s="3">
        <v>0</v>
      </c>
      <c r="D35" s="161">
        <v>0</v>
      </c>
      <c r="E35" s="161">
        <v>0</v>
      </c>
      <c r="F35" s="161">
        <v>0</v>
      </c>
      <c r="G35" s="21"/>
    </row>
    <row r="36" spans="1:7" ht="12.75">
      <c r="A36" s="3">
        <v>426</v>
      </c>
      <c r="B36" s="3" t="s">
        <v>405</v>
      </c>
      <c r="C36" s="3">
        <v>719.75</v>
      </c>
      <c r="D36" s="161">
        <v>0</v>
      </c>
      <c r="E36" s="161">
        <v>1000</v>
      </c>
      <c r="F36" s="161">
        <v>1000</v>
      </c>
      <c r="G36" s="21" t="s">
        <v>7</v>
      </c>
    </row>
    <row r="37" spans="1:7" ht="12.75">
      <c r="A37" s="3">
        <v>451</v>
      </c>
      <c r="B37" s="3" t="s">
        <v>303</v>
      </c>
      <c r="C37" s="3">
        <v>0</v>
      </c>
      <c r="D37" s="161">
        <v>0</v>
      </c>
      <c r="E37" s="161" t="s">
        <v>7</v>
      </c>
      <c r="F37" s="161">
        <v>0</v>
      </c>
      <c r="G37" s="21"/>
    </row>
    <row r="38" spans="1:7" ht="12.75">
      <c r="A38" s="3"/>
      <c r="B38" s="3" t="s">
        <v>404</v>
      </c>
      <c r="C38" s="3"/>
      <c r="D38" s="161"/>
      <c r="E38" s="161" t="s">
        <v>7</v>
      </c>
      <c r="F38" s="161">
        <v>0</v>
      </c>
      <c r="G38" s="21"/>
    </row>
    <row r="39" spans="1:7" ht="12.75">
      <c r="A39" s="3">
        <v>460</v>
      </c>
      <c r="B39" s="3" t="s">
        <v>403</v>
      </c>
      <c r="C39" s="3">
        <v>0</v>
      </c>
      <c r="D39" s="161">
        <v>0</v>
      </c>
      <c r="E39" s="161">
        <v>0</v>
      </c>
      <c r="F39" s="161">
        <v>0</v>
      </c>
      <c r="G39" s="21" t="s">
        <v>7</v>
      </c>
    </row>
    <row r="40" spans="1:7" ht="12.75">
      <c r="A40" s="3"/>
      <c r="B40" s="3" t="s">
        <v>401</v>
      </c>
      <c r="C40" s="3"/>
      <c r="D40" s="161"/>
      <c r="E40" s="161" t="s">
        <v>7</v>
      </c>
      <c r="F40" s="161">
        <v>0</v>
      </c>
      <c r="G40" s="21"/>
    </row>
    <row r="41" spans="1:7" ht="12.75">
      <c r="A41" s="3">
        <v>481</v>
      </c>
      <c r="B41" s="3" t="s">
        <v>305</v>
      </c>
      <c r="C41" s="15">
        <v>0</v>
      </c>
      <c r="D41" s="167">
        <v>0</v>
      </c>
      <c r="E41" s="167" t="s">
        <v>7</v>
      </c>
      <c r="F41" s="167">
        <v>30000</v>
      </c>
      <c r="G41" s="21" t="s">
        <v>7</v>
      </c>
    </row>
    <row r="42" spans="1:7" ht="12.75">
      <c r="A42" s="3"/>
      <c r="B42" s="3" t="s">
        <v>705</v>
      </c>
      <c r="C42" s="15"/>
      <c r="D42" s="27"/>
      <c r="E42" s="15"/>
      <c r="F42" s="27"/>
      <c r="G42" s="21"/>
    </row>
    <row r="43" spans="1:7" s="53" customFormat="1" ht="18.75" customHeight="1">
      <c r="A43" s="23" t="s">
        <v>16</v>
      </c>
      <c r="B43" s="5"/>
      <c r="C43" s="129">
        <f>SUM(C31:C41)</f>
        <v>196684.14</v>
      </c>
      <c r="D43" s="129">
        <f>SUM(D31:D41)</f>
        <v>195311.41</v>
      </c>
      <c r="E43" s="129">
        <f>SUM(E31:E41)</f>
        <v>176000</v>
      </c>
      <c r="F43" s="129">
        <f>SUM(F31:F42)</f>
        <v>219000</v>
      </c>
      <c r="G43" s="23" t="s">
        <v>7</v>
      </c>
    </row>
    <row r="44" spans="1:7" s="53" customFormat="1" ht="18.75" customHeight="1">
      <c r="A44" s="5"/>
      <c r="B44" s="3" t="s">
        <v>17</v>
      </c>
      <c r="C44" s="80">
        <f>C28</f>
        <v>233797.91999999998</v>
      </c>
      <c r="D44" s="80">
        <f>D28</f>
        <v>171403.58000000002</v>
      </c>
      <c r="E44" s="80">
        <f>E28</f>
        <v>188077</v>
      </c>
      <c r="F44" s="80">
        <f>F28</f>
        <v>194336.28</v>
      </c>
      <c r="G44" s="23"/>
    </row>
    <row r="45" spans="1:7" s="53" customFormat="1" ht="18.75" customHeight="1">
      <c r="A45" s="5"/>
      <c r="B45" s="3"/>
      <c r="C45" s="80"/>
      <c r="D45" s="80"/>
      <c r="E45" s="80"/>
      <c r="F45" s="80"/>
      <c r="G45" s="23"/>
    </row>
    <row r="46" spans="1:7" s="53" customFormat="1" ht="18.75" customHeight="1">
      <c r="A46" s="5" t="s">
        <v>18</v>
      </c>
      <c r="B46" s="5"/>
      <c r="C46" s="81">
        <f>C43-C44</f>
        <v>-37113.77999999997</v>
      </c>
      <c r="D46" s="81">
        <f>SUM(D43-D28)</f>
        <v>23907.829999999987</v>
      </c>
      <c r="E46" s="81">
        <f>E43-E44</f>
        <v>-12077</v>
      </c>
      <c r="F46" s="81">
        <f>SUM(F43-F44)</f>
        <v>24663.72</v>
      </c>
      <c r="G46" s="23"/>
    </row>
    <row r="47" spans="1:7" ht="12.75">
      <c r="A47" s="21"/>
      <c r="B47" s="21"/>
      <c r="C47" s="21"/>
      <c r="D47" s="21"/>
      <c r="E47" s="21"/>
      <c r="F47" s="21"/>
      <c r="G47" s="21"/>
    </row>
    <row r="48" spans="1:9" ht="12.75">
      <c r="A48" s="21"/>
      <c r="B48" s="21"/>
      <c r="C48" s="21" t="s">
        <v>279</v>
      </c>
      <c r="D48" s="21"/>
      <c r="E48" s="21"/>
      <c r="F48" s="21"/>
      <c r="G48" s="21"/>
      <c r="H48" s="21"/>
      <c r="I48" s="21"/>
    </row>
    <row r="49" spans="1:9" ht="12.75">
      <c r="A49" s="21" t="s">
        <v>7</v>
      </c>
      <c r="B49" s="21" t="s">
        <v>7</v>
      </c>
      <c r="C49" s="21" t="s">
        <v>659</v>
      </c>
      <c r="D49" s="21"/>
      <c r="E49" s="21"/>
      <c r="F49" s="21"/>
      <c r="G49" s="21"/>
      <c r="H49" s="21"/>
      <c r="I49" s="21"/>
    </row>
    <row r="50" spans="1:9" ht="12.75">
      <c r="A50" s="21"/>
      <c r="B50" s="21" t="s">
        <v>7</v>
      </c>
      <c r="C50" s="21" t="s">
        <v>454</v>
      </c>
      <c r="D50" s="21"/>
      <c r="E50" s="21"/>
      <c r="F50" s="21"/>
      <c r="G50" s="21"/>
      <c r="H50" s="214"/>
      <c r="I50" s="214"/>
    </row>
    <row r="51" spans="1:9" ht="12.75">
      <c r="A51" s="21"/>
      <c r="B51" s="21"/>
      <c r="C51" s="21"/>
      <c r="D51" s="21"/>
      <c r="E51" s="21"/>
      <c r="F51" s="21"/>
      <c r="G51" s="21"/>
      <c r="H51" s="36"/>
      <c r="I51" s="36"/>
    </row>
    <row r="52" spans="1:7" ht="13.5" customHeight="1">
      <c r="A52" s="23" t="s">
        <v>282</v>
      </c>
      <c r="B52" s="21"/>
      <c r="C52" s="21"/>
      <c r="D52" s="21"/>
      <c r="E52" s="21"/>
      <c r="F52" s="21"/>
      <c r="G52" s="21"/>
    </row>
    <row r="53" spans="1:7" ht="12.75">
      <c r="A53" s="23"/>
      <c r="B53" s="21"/>
      <c r="C53" s="21"/>
      <c r="D53" s="21"/>
      <c r="E53" s="21"/>
      <c r="F53" s="21"/>
      <c r="G53" s="21"/>
    </row>
    <row r="54" spans="1:7" ht="12.75">
      <c r="A54" s="23">
        <v>511</v>
      </c>
      <c r="B54" s="23" t="s">
        <v>20</v>
      </c>
      <c r="C54" s="21"/>
      <c r="D54" s="21"/>
      <c r="E54" s="21"/>
      <c r="F54" s="23">
        <f>+E59+E64+E70</f>
        <v>37872.5</v>
      </c>
      <c r="G54" s="23"/>
    </row>
    <row r="55" spans="1:5" ht="12.75">
      <c r="A55" s="21"/>
      <c r="B55" s="21"/>
      <c r="C55" s="21"/>
      <c r="D55" s="21"/>
      <c r="E55" s="21"/>
    </row>
    <row r="56" spans="1:6" ht="12.75">
      <c r="A56" s="21"/>
      <c r="B56" s="21" t="s">
        <v>692</v>
      </c>
      <c r="C56" s="21"/>
      <c r="D56" s="21"/>
      <c r="E56" s="21">
        <v>20000</v>
      </c>
      <c r="F56" s="21"/>
    </row>
    <row r="57" spans="1:6" ht="12.75">
      <c r="A57" s="21"/>
      <c r="B57" s="21" t="s">
        <v>7</v>
      </c>
      <c r="C57" s="21"/>
      <c r="D57" s="21" t="s">
        <v>7</v>
      </c>
      <c r="E57" s="21" t="s">
        <v>7</v>
      </c>
      <c r="F57" s="21"/>
    </row>
    <row r="58" spans="1:6" ht="12.75">
      <c r="A58" s="21"/>
      <c r="B58" s="21" t="s">
        <v>721</v>
      </c>
      <c r="C58" s="21"/>
      <c r="D58" s="21" t="s">
        <v>7</v>
      </c>
      <c r="E58" s="32">
        <v>700</v>
      </c>
      <c r="F58" s="21"/>
    </row>
    <row r="59" spans="2:6" ht="12.75">
      <c r="B59" s="21"/>
      <c r="C59" s="21"/>
      <c r="D59" s="21"/>
      <c r="E59" s="51">
        <f>SUM(E56:E58)</f>
        <v>20700</v>
      </c>
      <c r="F59" s="51"/>
    </row>
    <row r="60" spans="2:6" ht="12.75">
      <c r="B60" s="21"/>
      <c r="C60" s="21"/>
      <c r="D60" s="21"/>
      <c r="E60" s="21"/>
      <c r="F60" s="21"/>
    </row>
    <row r="61" spans="2:6" ht="12.75">
      <c r="B61" s="21" t="s">
        <v>691</v>
      </c>
      <c r="C61" s="21"/>
      <c r="D61" s="21"/>
      <c r="E61" s="21"/>
      <c r="F61" s="21"/>
    </row>
    <row r="62" spans="2:6" ht="12.75">
      <c r="B62" s="21" t="s">
        <v>321</v>
      </c>
      <c r="C62" s="21"/>
      <c r="D62" s="21"/>
      <c r="E62" s="21">
        <v>15080</v>
      </c>
      <c r="F62" s="21"/>
    </row>
    <row r="63" spans="2:6" ht="12.75">
      <c r="B63" s="21" t="s">
        <v>7</v>
      </c>
      <c r="C63" s="21"/>
      <c r="D63" s="21"/>
      <c r="E63" s="32">
        <v>0</v>
      </c>
      <c r="F63" s="21"/>
    </row>
    <row r="64" spans="2:6" ht="12.75">
      <c r="B64" s="21"/>
      <c r="C64" s="21"/>
      <c r="D64" s="21"/>
      <c r="E64" s="51">
        <f>SUM(E62:E63)</f>
        <v>15080</v>
      </c>
      <c r="F64" s="51"/>
    </row>
    <row r="65" spans="2:6" ht="12.75">
      <c r="B65" s="21"/>
      <c r="C65" s="21"/>
      <c r="D65" s="21"/>
      <c r="E65" s="21" t="s">
        <v>7</v>
      </c>
      <c r="F65" s="21"/>
    </row>
    <row r="66" spans="1:7" ht="12.75">
      <c r="A66" s="21"/>
      <c r="B66" s="21" t="s">
        <v>32</v>
      </c>
      <c r="C66" s="21"/>
      <c r="D66" s="21"/>
      <c r="E66" s="21"/>
      <c r="F66" s="21"/>
      <c r="G66" s="21"/>
    </row>
    <row r="67" spans="1:6" ht="12.75">
      <c r="A67" s="21"/>
      <c r="B67" s="21" t="s">
        <v>722</v>
      </c>
      <c r="C67" s="54" t="s">
        <v>7</v>
      </c>
      <c r="D67" s="21"/>
      <c r="E67" s="21">
        <v>1492.5</v>
      </c>
      <c r="F67" s="21"/>
    </row>
    <row r="68" spans="1:6" ht="12.75">
      <c r="A68" s="21"/>
      <c r="B68" s="21" t="s">
        <v>7</v>
      </c>
      <c r="C68" s="54"/>
      <c r="D68" s="21"/>
      <c r="E68" s="21">
        <v>0</v>
      </c>
      <c r="F68" s="21"/>
    </row>
    <row r="69" spans="1:6" ht="12.75">
      <c r="A69" s="21"/>
      <c r="B69" s="21" t="s">
        <v>710</v>
      </c>
      <c r="C69" s="54"/>
      <c r="D69" s="21"/>
      <c r="E69" s="32">
        <v>600</v>
      </c>
      <c r="F69" s="21"/>
    </row>
    <row r="70" spans="1:6" ht="12.75">
      <c r="A70" s="21"/>
      <c r="B70" s="21"/>
      <c r="C70" s="54"/>
      <c r="D70" s="21"/>
      <c r="E70" s="23">
        <f>SUM(E67:E69)</f>
        <v>2092.5</v>
      </c>
      <c r="F70" s="21"/>
    </row>
    <row r="71" spans="1:6" ht="12.75">
      <c r="A71" s="21"/>
      <c r="B71" s="21"/>
      <c r="C71" s="21"/>
      <c r="D71" s="21"/>
      <c r="E71" s="21"/>
      <c r="F71" s="21"/>
    </row>
    <row r="72" spans="1:6" s="53" customFormat="1" ht="12.75">
      <c r="A72" s="23">
        <v>513</v>
      </c>
      <c r="B72" s="23" t="s">
        <v>22</v>
      </c>
      <c r="C72" s="23"/>
      <c r="D72" s="23"/>
      <c r="E72" s="23"/>
      <c r="F72" s="23">
        <f>SUM(E73,E74)</f>
        <v>7484.97</v>
      </c>
    </row>
    <row r="73" spans="1:6" ht="12.75">
      <c r="A73" s="21"/>
      <c r="B73" s="21" t="s">
        <v>700</v>
      </c>
      <c r="C73" s="21"/>
      <c r="D73" s="21" t="s">
        <v>7</v>
      </c>
      <c r="E73" s="21">
        <v>7484.97</v>
      </c>
      <c r="F73" s="21"/>
    </row>
    <row r="74" spans="1:6" ht="12.75">
      <c r="A74" s="21"/>
      <c r="B74" s="21"/>
      <c r="C74" s="21"/>
      <c r="D74" s="21"/>
      <c r="E74" s="21" t="s">
        <v>7</v>
      </c>
      <c r="F74" s="21"/>
    </row>
    <row r="75" spans="1:6" s="53" customFormat="1" ht="12.75">
      <c r="A75" s="23">
        <v>514</v>
      </c>
      <c r="B75" s="23" t="s">
        <v>23</v>
      </c>
      <c r="C75" s="23"/>
      <c r="D75" s="23"/>
      <c r="E75" s="23"/>
      <c r="F75" s="23">
        <f>+E76</f>
        <v>2897</v>
      </c>
    </row>
    <row r="76" spans="1:6" ht="12.75">
      <c r="A76" s="21"/>
      <c r="B76" s="21">
        <v>0.08</v>
      </c>
      <c r="C76" s="21"/>
      <c r="D76" s="21" t="s">
        <v>7</v>
      </c>
      <c r="E76" s="21">
        <v>2897</v>
      </c>
      <c r="F76" s="21"/>
    </row>
    <row r="77" spans="1:6" ht="12.75">
      <c r="A77" s="21"/>
      <c r="B77" s="21"/>
      <c r="C77" s="21"/>
      <c r="D77" s="21"/>
      <c r="E77" s="21"/>
      <c r="F77" s="21"/>
    </row>
    <row r="78" spans="1:6" s="53" customFormat="1" ht="12.75">
      <c r="A78" s="23">
        <v>515</v>
      </c>
      <c r="B78" s="23" t="s">
        <v>270</v>
      </c>
      <c r="C78" s="23"/>
      <c r="D78" s="23"/>
      <c r="E78" s="23"/>
      <c r="F78" s="23">
        <f>+E79</f>
        <v>1035</v>
      </c>
    </row>
    <row r="79" spans="1:6" ht="12.75">
      <c r="A79" s="21"/>
      <c r="B79" s="21" t="s">
        <v>7</v>
      </c>
      <c r="C79" s="21"/>
      <c r="D79" s="21"/>
      <c r="E79" s="21">
        <v>1035</v>
      </c>
      <c r="F79" s="21"/>
    </row>
    <row r="80" spans="1:6" ht="12.75">
      <c r="A80" s="21"/>
      <c r="B80" s="21" t="s">
        <v>7</v>
      </c>
      <c r="C80" s="21"/>
      <c r="D80" s="21"/>
      <c r="E80" s="21" t="s">
        <v>7</v>
      </c>
      <c r="F80" s="21" t="s">
        <v>7</v>
      </c>
    </row>
    <row r="81" spans="1:6" ht="12.75">
      <c r="A81" s="21"/>
      <c r="B81" s="21"/>
      <c r="C81" s="21"/>
      <c r="D81" s="21"/>
      <c r="E81" s="21"/>
      <c r="F81" s="21"/>
    </row>
    <row r="82" spans="1:6" s="53" customFormat="1" ht="12.75">
      <c r="A82" s="23">
        <v>521</v>
      </c>
      <c r="B82" s="23" t="s">
        <v>263</v>
      </c>
      <c r="C82" s="23"/>
      <c r="D82" s="23"/>
      <c r="E82" s="23"/>
      <c r="F82" s="23">
        <f>+SUM(E83:E85)</f>
        <v>2500</v>
      </c>
    </row>
    <row r="83" spans="1:6" ht="12.75">
      <c r="A83" s="21"/>
      <c r="B83" s="21" t="s">
        <v>306</v>
      </c>
      <c r="C83" s="21"/>
      <c r="D83" s="21"/>
      <c r="E83" s="21">
        <v>2500</v>
      </c>
      <c r="F83" s="21"/>
    </row>
    <row r="84" spans="1:6" ht="12.75">
      <c r="A84" s="21"/>
      <c r="B84" s="21" t="s">
        <v>40</v>
      </c>
      <c r="C84" s="21"/>
      <c r="D84" s="21"/>
      <c r="E84" s="21"/>
      <c r="F84" s="21"/>
    </row>
    <row r="85" spans="1:7" ht="12.75">
      <c r="A85" s="21"/>
      <c r="B85" s="21" t="s">
        <v>35</v>
      </c>
      <c r="C85" s="21"/>
      <c r="D85" s="21"/>
      <c r="E85" s="21"/>
      <c r="F85" s="21"/>
      <c r="G85" s="21"/>
    </row>
    <row r="86" spans="1:7" ht="12.75">
      <c r="A86" s="21"/>
      <c r="B86" s="21"/>
      <c r="C86" s="21"/>
      <c r="D86" s="21"/>
      <c r="E86" s="21"/>
      <c r="F86" s="21"/>
      <c r="G86" s="21"/>
    </row>
    <row r="87" spans="1:6" s="53" customFormat="1" ht="12.75">
      <c r="A87" s="23">
        <v>522</v>
      </c>
      <c r="B87" s="23" t="s">
        <v>219</v>
      </c>
      <c r="C87" s="23"/>
      <c r="D87" s="23"/>
      <c r="E87" s="23"/>
      <c r="F87" s="23">
        <f>+E88</f>
        <v>1785</v>
      </c>
    </row>
    <row r="88" spans="1:6" ht="12.75">
      <c r="A88" s="21"/>
      <c r="B88" s="21" t="s">
        <v>307</v>
      </c>
      <c r="C88" s="21"/>
      <c r="D88" s="21"/>
      <c r="E88" s="21">
        <v>1785</v>
      </c>
      <c r="F88" s="21"/>
    </row>
    <row r="89" spans="1:6" ht="12.75">
      <c r="A89" s="21"/>
      <c r="B89" s="21"/>
      <c r="C89" s="21"/>
      <c r="D89" s="21"/>
      <c r="E89" s="21"/>
      <c r="F89" s="21"/>
    </row>
    <row r="90" spans="1:6" s="53" customFormat="1" ht="12.75">
      <c r="A90" s="23">
        <v>523</v>
      </c>
      <c r="B90" s="23" t="s">
        <v>43</v>
      </c>
      <c r="C90" s="23"/>
      <c r="D90" s="23"/>
      <c r="E90" s="23"/>
      <c r="F90" s="23">
        <f>+E91</f>
        <v>500</v>
      </c>
    </row>
    <row r="91" spans="1:6" ht="12.75">
      <c r="A91" s="21"/>
      <c r="B91" s="21" t="s">
        <v>7</v>
      </c>
      <c r="C91" s="21"/>
      <c r="D91" s="21"/>
      <c r="E91" s="21">
        <v>500</v>
      </c>
      <c r="F91" s="21"/>
    </row>
    <row r="92" spans="1:6" ht="12.75">
      <c r="A92" s="21"/>
      <c r="B92" s="21"/>
      <c r="C92" s="21"/>
      <c r="D92" s="21"/>
      <c r="E92" s="21"/>
      <c r="F92" s="21"/>
    </row>
    <row r="93" spans="1:6" s="53" customFormat="1" ht="12.75">
      <c r="A93" s="23">
        <v>524</v>
      </c>
      <c r="B93" s="23" t="s">
        <v>266</v>
      </c>
      <c r="C93" s="23"/>
      <c r="D93" s="23"/>
      <c r="E93" s="23"/>
      <c r="F93" s="23">
        <f>+E94</f>
        <v>500</v>
      </c>
    </row>
    <row r="94" spans="1:6" ht="12.75">
      <c r="A94" s="21"/>
      <c r="B94" s="21" t="s">
        <v>284</v>
      </c>
      <c r="C94" s="21"/>
      <c r="D94" s="21"/>
      <c r="E94" s="21">
        <v>500</v>
      </c>
      <c r="F94" s="21"/>
    </row>
    <row r="95" spans="1:6" ht="12.75">
      <c r="A95" s="21"/>
      <c r="B95" s="21"/>
      <c r="C95" s="21"/>
      <c r="D95" s="21"/>
      <c r="E95" s="21"/>
      <c r="F95" s="21"/>
    </row>
    <row r="96" spans="1:6" s="53" customFormat="1" ht="12.75">
      <c r="A96" s="23">
        <v>525</v>
      </c>
      <c r="B96" s="23" t="s">
        <v>27</v>
      </c>
      <c r="C96" s="23"/>
      <c r="D96" s="23"/>
      <c r="E96" s="23"/>
      <c r="F96" s="23">
        <f>+E97</f>
        <v>11516</v>
      </c>
    </row>
    <row r="97" spans="1:6" ht="12.75">
      <c r="A97" s="21"/>
      <c r="B97" s="21" t="s">
        <v>7</v>
      </c>
      <c r="C97" s="21"/>
      <c r="D97" s="21"/>
      <c r="E97" s="21">
        <v>11516</v>
      </c>
      <c r="F97" s="21"/>
    </row>
    <row r="98" spans="1:7" ht="12.75">
      <c r="A98" s="21"/>
      <c r="B98" s="21"/>
      <c r="C98" s="21"/>
      <c r="D98" s="21"/>
      <c r="E98" s="21"/>
      <c r="F98" s="21"/>
      <c r="G98" s="21"/>
    </row>
    <row r="99" spans="1:6" s="53" customFormat="1" ht="12.75">
      <c r="A99" s="23">
        <v>526</v>
      </c>
      <c r="B99" s="23" t="s">
        <v>36</v>
      </c>
      <c r="C99" s="23"/>
      <c r="D99" s="23"/>
      <c r="E99" s="23"/>
      <c r="F99" s="23">
        <f>SUM(E100:E101)</f>
        <v>11245</v>
      </c>
    </row>
    <row r="100" spans="1:6" ht="12.75">
      <c r="A100" s="21"/>
      <c r="B100" s="21" t="s">
        <v>285</v>
      </c>
      <c r="C100" s="21"/>
      <c r="D100" s="21"/>
      <c r="E100" s="21">
        <v>11245</v>
      </c>
      <c r="F100" s="21"/>
    </row>
    <row r="101" spans="1:6" ht="12.75">
      <c r="A101" s="21"/>
      <c r="B101" s="21" t="s">
        <v>703</v>
      </c>
      <c r="C101" s="21"/>
      <c r="D101" s="21"/>
      <c r="E101" s="21" t="s">
        <v>7</v>
      </c>
      <c r="F101" s="21"/>
    </row>
    <row r="102" spans="1:6" ht="12.75">
      <c r="A102" s="21"/>
      <c r="B102" s="21"/>
      <c r="C102" s="21"/>
      <c r="D102" s="21"/>
      <c r="E102" s="21"/>
      <c r="F102" s="21"/>
    </row>
    <row r="103" spans="1:6" s="53" customFormat="1" ht="12.75">
      <c r="A103" s="23">
        <v>532</v>
      </c>
      <c r="B103" s="23" t="s">
        <v>264</v>
      </c>
      <c r="C103" s="23"/>
      <c r="D103" s="23"/>
      <c r="E103" s="23"/>
      <c r="F103" s="23">
        <f>+E104</f>
        <v>75000</v>
      </c>
    </row>
    <row r="104" spans="1:6" ht="12.75">
      <c r="A104" s="21" t="s">
        <v>7</v>
      </c>
      <c r="B104" s="21" t="s">
        <v>702</v>
      </c>
      <c r="C104" s="21"/>
      <c r="D104" s="21"/>
      <c r="E104" s="21">
        <v>75000</v>
      </c>
      <c r="F104" s="21"/>
    </row>
    <row r="105" spans="1:5" ht="12.75">
      <c r="A105" s="21"/>
      <c r="B105" s="21"/>
      <c r="C105" s="21"/>
      <c r="D105" s="21"/>
      <c r="E105" s="21"/>
    </row>
    <row r="106" spans="1:6" s="53" customFormat="1" ht="12.75">
      <c r="A106" s="23">
        <v>553</v>
      </c>
      <c r="B106" s="23" t="s">
        <v>277</v>
      </c>
      <c r="C106" s="23"/>
      <c r="D106" s="23"/>
      <c r="E106" s="23"/>
      <c r="F106" s="23">
        <f>+E107</f>
        <v>12000</v>
      </c>
    </row>
    <row r="107" spans="1:6" s="53" customFormat="1" ht="12.75">
      <c r="A107" s="23"/>
      <c r="B107" s="21" t="s">
        <v>308</v>
      </c>
      <c r="C107" s="23"/>
      <c r="D107" s="23"/>
      <c r="E107" s="21">
        <v>12000</v>
      </c>
      <c r="F107" s="23"/>
    </row>
    <row r="108" spans="1:6" ht="12.75">
      <c r="A108" s="21"/>
      <c r="B108" s="21"/>
      <c r="C108" s="21"/>
      <c r="D108" s="21"/>
      <c r="E108" s="21"/>
      <c r="F108" s="21"/>
    </row>
    <row r="109" spans="1:6" ht="12.75">
      <c r="A109" s="127">
        <v>554</v>
      </c>
      <c r="B109" s="23" t="s">
        <v>300</v>
      </c>
      <c r="C109" s="21"/>
      <c r="D109" s="21"/>
      <c r="E109" s="21"/>
      <c r="F109" s="23">
        <f>+E110</f>
        <v>0</v>
      </c>
    </row>
    <row r="110" spans="1:6" ht="12.75">
      <c r="A110" s="21"/>
      <c r="B110" s="21" t="s">
        <v>607</v>
      </c>
      <c r="C110" s="21"/>
      <c r="D110" s="21"/>
      <c r="E110" s="21">
        <v>0</v>
      </c>
      <c r="F110" s="21"/>
    </row>
    <row r="111" spans="1:6" ht="12.75">
      <c r="A111" s="21"/>
      <c r="B111" s="21"/>
      <c r="C111" s="21"/>
      <c r="D111" s="21"/>
      <c r="E111" s="21"/>
      <c r="F111" s="21"/>
    </row>
    <row r="112" spans="1:6" s="53" customFormat="1" ht="12.75">
      <c r="A112" s="23">
        <v>561</v>
      </c>
      <c r="B112" s="23" t="s">
        <v>265</v>
      </c>
      <c r="C112" s="23"/>
      <c r="D112" s="23"/>
      <c r="E112" s="23"/>
      <c r="F112" s="23">
        <f>+E113</f>
        <v>0</v>
      </c>
    </row>
    <row r="113" spans="1:6" ht="12.75">
      <c r="A113" s="21"/>
      <c r="B113" s="21" t="s">
        <v>309</v>
      </c>
      <c r="C113" s="21"/>
      <c r="D113" s="21"/>
      <c r="E113" s="21">
        <v>0</v>
      </c>
      <c r="F113" s="21"/>
    </row>
    <row r="114" spans="1:6" ht="12.75">
      <c r="A114" s="21"/>
      <c r="B114" s="21"/>
      <c r="C114" s="21"/>
      <c r="D114" s="21"/>
      <c r="E114" s="21"/>
      <c r="F114" s="21"/>
    </row>
    <row r="115" spans="1:6" ht="12.75">
      <c r="A115" s="127">
        <v>562</v>
      </c>
      <c r="B115" s="23" t="s">
        <v>195</v>
      </c>
      <c r="C115" s="21"/>
      <c r="D115" s="21"/>
      <c r="E115" s="21"/>
      <c r="F115" s="23">
        <f>+E116</f>
        <v>0</v>
      </c>
    </row>
    <row r="116" spans="1:6" ht="12.75">
      <c r="A116" s="21"/>
      <c r="B116" s="21" t="s">
        <v>310</v>
      </c>
      <c r="C116" s="21"/>
      <c r="D116" s="21"/>
      <c r="E116" s="21">
        <v>0</v>
      </c>
      <c r="F116" s="21"/>
    </row>
    <row r="117" spans="1:6" ht="12.75">
      <c r="A117" s="21"/>
      <c r="B117" s="21"/>
      <c r="C117" s="21"/>
      <c r="D117" s="21"/>
      <c r="E117" s="21"/>
      <c r="F117" s="21"/>
    </row>
    <row r="118" spans="1:6" ht="12.75">
      <c r="A118" s="21"/>
      <c r="B118" s="21" t="s">
        <v>706</v>
      </c>
      <c r="C118" s="21"/>
      <c r="D118" s="21"/>
      <c r="E118" s="21">
        <v>30000</v>
      </c>
      <c r="F118" s="23">
        <v>30000</v>
      </c>
    </row>
    <row r="119" spans="1:6" ht="12.75">
      <c r="A119" s="21"/>
      <c r="B119" s="21"/>
      <c r="C119" s="21"/>
      <c r="D119" s="21"/>
      <c r="E119" s="21"/>
      <c r="F119" s="21"/>
    </row>
    <row r="120" spans="1:6" ht="12.75">
      <c r="A120" s="21"/>
      <c r="B120" s="21"/>
      <c r="C120" s="21"/>
      <c r="D120" s="21"/>
      <c r="E120" s="21"/>
      <c r="F120" s="21"/>
    </row>
    <row r="121" spans="1:6" ht="12.75">
      <c r="A121" s="23" t="s">
        <v>311</v>
      </c>
      <c r="B121" s="23"/>
      <c r="C121" s="23"/>
      <c r="D121" s="23"/>
      <c r="E121" s="23"/>
      <c r="F121" s="23">
        <f>SUM(F54:F120)</f>
        <v>194335.47</v>
      </c>
    </row>
  </sheetData>
  <sheetProtection/>
  <mergeCells count="3">
    <mergeCell ref="A1:F1"/>
    <mergeCell ref="A2:F2"/>
    <mergeCell ref="H50:I50"/>
  </mergeCells>
  <printOptions/>
  <pageMargins left="0.75" right="0.75" top="1" bottom="1" header="0.5" footer="0.5"/>
  <pageSetup horizontalDpi="300" verticalDpi="300" orientation="portrait" scale="95" r:id="rId1"/>
  <headerFooter alignWithMargins="0">
    <oddFooter>&amp;CPage &amp;P&amp;RSTREET
</oddFooter>
  </headerFooter>
  <rowBreaks count="2" manualBreakCount="2">
    <brk id="46" max="5" man="1"/>
    <brk id="9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SheetLayoutView="75" zoomScalePageLayoutView="0" workbookViewId="0" topLeftCell="A1">
      <selection activeCell="C4" sqref="C4"/>
    </sheetView>
  </sheetViews>
  <sheetFormatPr defaultColWidth="9.00390625" defaultRowHeight="12.75"/>
  <cols>
    <col min="1" max="1" width="4.625" style="22" customWidth="1"/>
    <col min="2" max="2" width="22.50390625" style="22" customWidth="1"/>
    <col min="3" max="7" width="11.625" style="22" customWidth="1"/>
    <col min="8" max="16384" width="9.00390625" style="22" customWidth="1"/>
  </cols>
  <sheetData>
    <row r="1" spans="1:7" ht="12.75">
      <c r="A1" s="3"/>
      <c r="B1" s="3"/>
      <c r="C1" s="3"/>
      <c r="D1" s="3"/>
      <c r="E1" s="3"/>
      <c r="F1" s="3"/>
      <c r="G1" s="21"/>
    </row>
    <row r="2" spans="1:7" ht="12.75">
      <c r="A2" s="3"/>
      <c r="B2" s="3"/>
      <c r="C2" s="5" t="s">
        <v>279</v>
      </c>
      <c r="D2" s="3"/>
      <c r="E2" s="3"/>
      <c r="F2" s="3"/>
      <c r="G2" s="21"/>
    </row>
    <row r="3" spans="1:7" ht="12.75">
      <c r="A3" s="3"/>
      <c r="B3" s="3"/>
      <c r="C3" s="3"/>
      <c r="D3" s="3"/>
      <c r="E3" s="3"/>
      <c r="F3" s="3"/>
      <c r="G3" s="21"/>
    </row>
    <row r="4" spans="1:7" ht="12.75">
      <c r="A4" s="3"/>
      <c r="B4" s="5" t="s">
        <v>186</v>
      </c>
      <c r="C4" s="5"/>
      <c r="D4" s="3"/>
      <c r="E4" s="3"/>
      <c r="F4" s="3"/>
      <c r="G4" s="21"/>
    </row>
    <row r="5" spans="1:7" ht="12.75">
      <c r="A5" s="3"/>
      <c r="B5" s="46" t="s">
        <v>187</v>
      </c>
      <c r="C5" s="3"/>
      <c r="D5" s="3"/>
      <c r="E5" s="3"/>
      <c r="F5" s="3"/>
      <c r="G5" s="21"/>
    </row>
    <row r="6" spans="1:7" ht="12.75">
      <c r="A6" s="3"/>
      <c r="B6" s="3"/>
      <c r="C6" s="59" t="s">
        <v>222</v>
      </c>
      <c r="D6" s="59" t="s">
        <v>236</v>
      </c>
      <c r="E6" s="59" t="s">
        <v>236</v>
      </c>
      <c r="F6" s="59" t="s">
        <v>250</v>
      </c>
      <c r="G6" s="37"/>
    </row>
    <row r="7" spans="1:7" ht="12.75">
      <c r="A7" s="3"/>
      <c r="B7" s="3"/>
      <c r="C7" s="36" t="s">
        <v>2</v>
      </c>
      <c r="D7" s="36" t="s">
        <v>2</v>
      </c>
      <c r="E7" s="36" t="s">
        <v>2</v>
      </c>
      <c r="F7" s="36" t="s">
        <v>2</v>
      </c>
      <c r="G7" s="21"/>
    </row>
    <row r="8" spans="1:7" ht="12.75">
      <c r="A8" s="3"/>
      <c r="B8" s="3"/>
      <c r="C8" s="59" t="s">
        <v>223</v>
      </c>
      <c r="D8" s="59" t="s">
        <v>237</v>
      </c>
      <c r="E8" s="59" t="s">
        <v>237</v>
      </c>
      <c r="F8" s="59" t="s">
        <v>251</v>
      </c>
      <c r="G8" s="37"/>
    </row>
    <row r="9" spans="1:7" ht="12.75">
      <c r="A9" s="3"/>
      <c r="B9" s="3"/>
      <c r="C9" s="7" t="s">
        <v>3</v>
      </c>
      <c r="D9" s="36" t="s">
        <v>194</v>
      </c>
      <c r="E9" s="36" t="s">
        <v>191</v>
      </c>
      <c r="F9" s="36" t="s">
        <v>191</v>
      </c>
      <c r="G9" s="21"/>
    </row>
    <row r="10" spans="1:7" ht="12.75">
      <c r="A10" s="3"/>
      <c r="B10" s="3"/>
      <c r="C10" s="3"/>
      <c r="D10" s="3"/>
      <c r="E10" s="5"/>
      <c r="F10" s="3"/>
      <c r="G10" s="21"/>
    </row>
    <row r="11" spans="1:7" s="53" customFormat="1" ht="12.75">
      <c r="A11" s="5" t="s">
        <v>4</v>
      </c>
      <c r="B11" s="5"/>
      <c r="C11" s="5"/>
      <c r="D11" s="5"/>
      <c r="E11" s="3"/>
      <c r="F11" s="5"/>
      <c r="G11" s="23"/>
    </row>
    <row r="12" spans="1:7" ht="12.75">
      <c r="A12" s="3" t="s">
        <v>28</v>
      </c>
      <c r="B12" s="5" t="s">
        <v>29</v>
      </c>
      <c r="C12" s="3"/>
      <c r="D12" s="24"/>
      <c r="E12" s="3"/>
      <c r="F12" s="3"/>
      <c r="G12" s="21"/>
    </row>
    <row r="13" spans="1:7" ht="12.75">
      <c r="A13" s="3"/>
      <c r="B13" s="3" t="s">
        <v>224</v>
      </c>
      <c r="C13" s="3"/>
      <c r="D13" s="22">
        <v>40000</v>
      </c>
      <c r="E13" s="3">
        <v>50000</v>
      </c>
      <c r="F13" s="22">
        <v>50000</v>
      </c>
      <c r="G13" s="21"/>
    </row>
    <row r="14" spans="1:7" ht="12.75">
      <c r="A14" s="3"/>
      <c r="B14" s="3" t="s">
        <v>258</v>
      </c>
      <c r="C14" s="3"/>
      <c r="E14" s="3"/>
      <c r="F14" s="22">
        <v>97532</v>
      </c>
      <c r="G14" s="21"/>
    </row>
    <row r="15" spans="1:7" ht="12.75">
      <c r="A15" s="3"/>
      <c r="B15" s="3" t="s">
        <v>243</v>
      </c>
      <c r="C15" s="3">
        <v>5988</v>
      </c>
      <c r="D15" s="22">
        <v>1163</v>
      </c>
      <c r="E15" s="3">
        <v>4013</v>
      </c>
      <c r="F15" s="22">
        <v>12837</v>
      </c>
      <c r="G15" s="21"/>
    </row>
    <row r="16" spans="1:7" ht="12.75">
      <c r="A16" s="3"/>
      <c r="B16" s="3" t="s">
        <v>244</v>
      </c>
      <c r="C16" s="3"/>
      <c r="D16" s="22">
        <v>6394</v>
      </c>
      <c r="E16" s="3">
        <v>101122</v>
      </c>
      <c r="F16" s="22">
        <v>94728</v>
      </c>
      <c r="G16" s="21"/>
    </row>
    <row r="17" spans="1:7" ht="12.75">
      <c r="A17" s="3"/>
      <c r="B17" s="3" t="s">
        <v>240</v>
      </c>
      <c r="C17" s="3">
        <f>17752+4788+2180</f>
        <v>24720</v>
      </c>
      <c r="E17" s="3"/>
      <c r="G17" s="21"/>
    </row>
    <row r="18" spans="1:7" ht="12.75">
      <c r="A18" s="3"/>
      <c r="B18" s="3" t="s">
        <v>14</v>
      </c>
      <c r="C18" s="3">
        <f>2792-1</f>
        <v>2791</v>
      </c>
      <c r="E18" s="3">
        <v>487</v>
      </c>
      <c r="F18" s="22">
        <v>163</v>
      </c>
      <c r="G18" s="21"/>
    </row>
    <row r="19" spans="1:7" ht="12.75">
      <c r="A19" s="3"/>
      <c r="B19" s="3" t="s">
        <v>259</v>
      </c>
      <c r="C19" s="15">
        <v>22960</v>
      </c>
      <c r="D19" s="27">
        <v>107000</v>
      </c>
      <c r="E19" s="15">
        <v>107000</v>
      </c>
      <c r="F19" s="27">
        <v>111922</v>
      </c>
      <c r="G19" s="21"/>
    </row>
    <row r="20" spans="1:7" ht="12.75">
      <c r="A20" s="3"/>
      <c r="B20" s="3"/>
      <c r="C20" s="3"/>
      <c r="E20" s="3"/>
      <c r="G20" s="21"/>
    </row>
    <row r="21" spans="1:7" s="53" customFormat="1" ht="15.75" customHeight="1">
      <c r="A21" s="5" t="s">
        <v>30</v>
      </c>
      <c r="B21" s="5"/>
      <c r="C21" s="33">
        <f>SUM(C12:C20)</f>
        <v>56459</v>
      </c>
      <c r="D21" s="33">
        <f>SUM(D12:D20)</f>
        <v>154557</v>
      </c>
      <c r="E21" s="33">
        <f>SUM(E12:E20)</f>
        <v>262622</v>
      </c>
      <c r="F21" s="33">
        <f>SUM(F12:F20)</f>
        <v>367182</v>
      </c>
      <c r="G21" s="23"/>
    </row>
    <row r="22" spans="1:7" ht="12.75">
      <c r="A22" s="3"/>
      <c r="B22" s="3" t="s">
        <v>11</v>
      </c>
      <c r="C22" s="15">
        <v>0</v>
      </c>
      <c r="D22" s="30">
        <v>0</v>
      </c>
      <c r="E22" s="15">
        <v>0</v>
      </c>
      <c r="F22" s="27">
        <f>+F33-F21</f>
        <v>0</v>
      </c>
      <c r="G22" s="21"/>
    </row>
    <row r="23" spans="1:7" ht="12.75">
      <c r="A23" s="3"/>
      <c r="B23" s="3"/>
      <c r="C23" s="3"/>
      <c r="D23" s="24"/>
      <c r="E23" s="3"/>
      <c r="G23" s="21"/>
    </row>
    <row r="24" spans="1:7" s="53" customFormat="1" ht="18.75" customHeight="1">
      <c r="A24" s="5" t="s">
        <v>12</v>
      </c>
      <c r="B24" s="5"/>
      <c r="C24" s="25">
        <f>SUM(C21:C22)</f>
        <v>56459</v>
      </c>
      <c r="D24" s="25">
        <f>SUM(D21:D22)</f>
        <v>154557</v>
      </c>
      <c r="E24" s="25">
        <f>SUM(E21:E22)</f>
        <v>262622</v>
      </c>
      <c r="F24" s="25">
        <f>SUM(F21:F22)</f>
        <v>367182</v>
      </c>
      <c r="G24" s="23"/>
    </row>
    <row r="25" spans="1:7" ht="12.75">
      <c r="A25" s="3"/>
      <c r="B25" s="3"/>
      <c r="C25" s="3"/>
      <c r="D25" s="24"/>
      <c r="E25" s="3"/>
      <c r="G25" s="21"/>
    </row>
    <row r="26" spans="1:7" ht="12.75">
      <c r="A26" s="5" t="s">
        <v>13</v>
      </c>
      <c r="B26" s="3"/>
      <c r="C26" s="3"/>
      <c r="E26" s="3"/>
      <c r="G26" s="21"/>
    </row>
    <row r="27" spans="1:7" ht="12.75">
      <c r="A27" s="3" t="s">
        <v>42</v>
      </c>
      <c r="B27" s="3"/>
      <c r="C27" s="3">
        <v>50110</v>
      </c>
      <c r="D27" s="24">
        <f>+C36</f>
        <v>116402</v>
      </c>
      <c r="E27" s="3">
        <v>60084</v>
      </c>
      <c r="F27" s="24">
        <f>+D36</f>
        <v>152644</v>
      </c>
      <c r="G27" s="21"/>
    </row>
    <row r="28" spans="1:7" ht="12.75">
      <c r="A28" s="3" t="s">
        <v>53</v>
      </c>
      <c r="B28" s="3"/>
      <c r="C28" s="3">
        <v>120889</v>
      </c>
      <c r="D28" s="22">
        <v>125689</v>
      </c>
      <c r="E28" s="3">
        <v>108000</v>
      </c>
      <c r="F28" s="22">
        <v>120000</v>
      </c>
      <c r="G28" s="21"/>
    </row>
    <row r="29" spans="1:7" ht="12.75">
      <c r="A29" s="3" t="s">
        <v>57</v>
      </c>
      <c r="B29" s="3"/>
      <c r="C29" s="3">
        <v>1862</v>
      </c>
      <c r="D29" s="22">
        <v>4436</v>
      </c>
      <c r="E29" s="3">
        <v>1000</v>
      </c>
      <c r="F29" s="22">
        <v>1000</v>
      </c>
      <c r="G29" s="21"/>
    </row>
    <row r="30" spans="1:7" ht="12.75">
      <c r="A30" s="3" t="s">
        <v>242</v>
      </c>
      <c r="B30" s="3"/>
      <c r="C30" s="3">
        <v>0</v>
      </c>
      <c r="D30" s="22">
        <v>5837</v>
      </c>
      <c r="E30" s="3">
        <v>93538</v>
      </c>
      <c r="F30" s="22">
        <v>93538</v>
      </c>
      <c r="G30" s="21"/>
    </row>
    <row r="31" spans="1:7" ht="12.75">
      <c r="A31" s="3" t="s">
        <v>14</v>
      </c>
      <c r="B31" s="3"/>
      <c r="C31" s="3"/>
      <c r="D31" s="22">
        <v>14837</v>
      </c>
      <c r="E31" s="3"/>
      <c r="G31" s="21"/>
    </row>
    <row r="32" spans="1:7" ht="12.75">
      <c r="A32" s="22" t="s">
        <v>257</v>
      </c>
      <c r="D32" s="22">
        <v>40000</v>
      </c>
      <c r="G32" s="21"/>
    </row>
    <row r="33" spans="1:7" ht="12.75">
      <c r="A33" s="5" t="s">
        <v>16</v>
      </c>
      <c r="B33" s="3"/>
      <c r="C33" s="3">
        <f>SUM(C27:C31)</f>
        <v>172861</v>
      </c>
      <c r="D33" s="3">
        <f>SUM(D27:D32)</f>
        <v>307201</v>
      </c>
      <c r="E33" s="3">
        <f>SUM(E27:E31)</f>
        <v>262622</v>
      </c>
      <c r="F33" s="3">
        <f>SUM(F27:F31)</f>
        <v>367182</v>
      </c>
      <c r="G33" s="21"/>
    </row>
    <row r="34" spans="1:7" ht="12.75">
      <c r="A34" s="3"/>
      <c r="B34" s="3" t="s">
        <v>17</v>
      </c>
      <c r="C34" s="15">
        <f>+C24</f>
        <v>56459</v>
      </c>
      <c r="D34" s="15">
        <f>+D24</f>
        <v>154557</v>
      </c>
      <c r="E34" s="15">
        <f>+E24</f>
        <v>262622</v>
      </c>
      <c r="F34" s="15">
        <f>+F24</f>
        <v>367182</v>
      </c>
      <c r="G34" s="21"/>
    </row>
    <row r="35" spans="1:7" ht="12.75">
      <c r="A35" s="3"/>
      <c r="B35" s="3"/>
      <c r="C35" s="3"/>
      <c r="D35" s="24"/>
      <c r="E35" s="3"/>
      <c r="F35" s="24"/>
      <c r="G35" s="21"/>
    </row>
    <row r="36" spans="1:7" s="53" customFormat="1" ht="18" customHeight="1">
      <c r="A36" s="5" t="s">
        <v>18</v>
      </c>
      <c r="B36" s="5"/>
      <c r="C36" s="26">
        <f>SUM(C33-C34)</f>
        <v>116402</v>
      </c>
      <c r="D36" s="26">
        <f>SUM(D33-D34)</f>
        <v>152644</v>
      </c>
      <c r="E36" s="26">
        <f>SUM(E33-E34)</f>
        <v>0</v>
      </c>
      <c r="F36" s="26">
        <f>SUM(F33-F34)</f>
        <v>0</v>
      </c>
      <c r="G36" s="23"/>
    </row>
    <row r="37" ht="12.75">
      <c r="A37" s="24"/>
    </row>
  </sheetData>
  <sheetProtection/>
  <printOptions/>
  <pageMargins left="0.7" right="0.7" top="0.8" bottom="0.6" header="0.5" footer="0.5"/>
  <pageSetup firstPageNumber="29" useFirstPageNumber="1" horizontalDpi="300" verticalDpi="300" orientation="portrait" scale="86" r:id="rId1"/>
  <headerFooter alignWithMargins="0">
    <oddFooter>&amp;CPage 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SheetLayoutView="75" zoomScalePageLayoutView="0" workbookViewId="0" topLeftCell="A1">
      <pane xSplit="2" ySplit="7" topLeftCell="C8" activePane="bottomRight" state="frozen"/>
      <selection pane="topLeft" activeCell="I104" sqref="I104"/>
      <selection pane="topRight" activeCell="I104" sqref="I104"/>
      <selection pane="bottomLeft" activeCell="I104" sqref="I104"/>
      <selection pane="bottomRight" activeCell="F17" sqref="F17"/>
    </sheetView>
  </sheetViews>
  <sheetFormatPr defaultColWidth="9.00390625" defaultRowHeight="12.75"/>
  <cols>
    <col min="1" max="1" width="4.625" style="22" customWidth="1"/>
    <col min="2" max="2" width="24.00390625" style="22" customWidth="1"/>
    <col min="3" max="7" width="11.625" style="22" customWidth="1"/>
    <col min="8" max="16384" width="9.00390625" style="22" customWidth="1"/>
  </cols>
  <sheetData>
    <row r="1" spans="1:7" ht="12.75">
      <c r="A1" s="210" t="s">
        <v>267</v>
      </c>
      <c r="B1" s="211"/>
      <c r="C1" s="211"/>
      <c r="D1" s="211"/>
      <c r="E1" s="211"/>
      <c r="F1" s="211"/>
      <c r="G1" s="21"/>
    </row>
    <row r="2" spans="1:7" ht="12.75">
      <c r="A2" s="210" t="s">
        <v>455</v>
      </c>
      <c r="B2" s="212"/>
      <c r="C2" s="212"/>
      <c r="D2" s="212"/>
      <c r="E2" s="212"/>
      <c r="F2" s="212"/>
      <c r="G2" s="21"/>
    </row>
    <row r="3" spans="1:7" ht="12.75">
      <c r="A3" s="3"/>
      <c r="B3" s="24"/>
      <c r="E3" s="3"/>
      <c r="F3" s="3"/>
      <c r="G3" s="21"/>
    </row>
    <row r="4" spans="1:7" ht="12.75">
      <c r="A4" s="3"/>
      <c r="B4" s="3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  <c r="G4" s="37"/>
    </row>
    <row r="5" spans="1:7" ht="12.75">
      <c r="A5" s="3"/>
      <c r="B5" s="3"/>
      <c r="C5" s="36" t="s">
        <v>2</v>
      </c>
      <c r="D5" s="36" t="s">
        <v>2</v>
      </c>
      <c r="E5" s="36" t="s">
        <v>2</v>
      </c>
      <c r="F5" s="36" t="s">
        <v>2</v>
      </c>
      <c r="G5" s="21"/>
    </row>
    <row r="6" spans="1:7" ht="12.75">
      <c r="A6" s="3"/>
      <c r="B6" s="3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  <c r="G6" s="37"/>
    </row>
    <row r="7" spans="1:7" ht="12.75">
      <c r="A7" s="3"/>
      <c r="B7" s="3"/>
      <c r="C7" s="7" t="s">
        <v>3</v>
      </c>
      <c r="D7" s="36" t="s">
        <v>194</v>
      </c>
      <c r="E7" s="36" t="s">
        <v>191</v>
      </c>
      <c r="F7" s="36" t="s">
        <v>191</v>
      </c>
      <c r="G7" s="21"/>
    </row>
    <row r="8" spans="1:7" ht="12.75">
      <c r="A8" s="3"/>
      <c r="B8" s="3"/>
      <c r="C8" s="3"/>
      <c r="D8" s="3"/>
      <c r="E8" s="3"/>
      <c r="F8" s="3"/>
      <c r="G8" s="21"/>
    </row>
    <row r="9" spans="1:7" s="53" customFormat="1" ht="12.75">
      <c r="A9" s="5" t="s">
        <v>4</v>
      </c>
      <c r="B9" s="5"/>
      <c r="C9" s="5"/>
      <c r="D9" s="33"/>
      <c r="E9" s="5"/>
      <c r="F9" s="5"/>
      <c r="G9" s="23"/>
    </row>
    <row r="10" spans="1:7" ht="12.75">
      <c r="A10" s="8">
        <v>553</v>
      </c>
      <c r="B10" s="3" t="s">
        <v>432</v>
      </c>
      <c r="C10" s="3">
        <v>20661</v>
      </c>
      <c r="D10" s="161">
        <v>23451.67</v>
      </c>
      <c r="E10" s="22">
        <v>20000</v>
      </c>
      <c r="F10" s="161">
        <v>23000</v>
      </c>
      <c r="G10" s="21"/>
    </row>
    <row r="11" spans="1:7" ht="12.75">
      <c r="A11" s="3"/>
      <c r="B11" s="3" t="s">
        <v>431</v>
      </c>
      <c r="C11" s="30">
        <v>0</v>
      </c>
      <c r="D11" s="167">
        <v>0</v>
      </c>
      <c r="E11" s="27">
        <v>0</v>
      </c>
      <c r="F11" s="167">
        <v>0</v>
      </c>
      <c r="G11" s="21"/>
    </row>
    <row r="12" spans="1:7" ht="12.75">
      <c r="A12" s="3"/>
      <c r="B12" s="3"/>
      <c r="C12" s="24"/>
      <c r="E12" s="24"/>
      <c r="G12" s="21"/>
    </row>
    <row r="13" spans="1:7" ht="12.75">
      <c r="A13" s="5" t="s">
        <v>30</v>
      </c>
      <c r="B13" s="5"/>
      <c r="C13" s="5">
        <f>SUM(C8:C11)</f>
        <v>20661</v>
      </c>
      <c r="D13" s="5">
        <f>SUM(D8:D11)</f>
        <v>23451.67</v>
      </c>
      <c r="E13" s="5">
        <f>SUM(E8:E11)</f>
        <v>20000</v>
      </c>
      <c r="F13" s="5">
        <f>SUM(F8:F11)</f>
        <v>23000</v>
      </c>
      <c r="G13" s="23"/>
    </row>
    <row r="14" spans="1:8" ht="12.75">
      <c r="A14" s="23"/>
      <c r="B14" s="21" t="s">
        <v>11</v>
      </c>
      <c r="C14" s="5">
        <v>0</v>
      </c>
      <c r="D14" s="23">
        <v>0</v>
      </c>
      <c r="E14" s="51">
        <v>0</v>
      </c>
      <c r="F14" s="51">
        <v>0</v>
      </c>
      <c r="H14" s="21"/>
    </row>
    <row r="15" spans="1:8" ht="18" customHeight="1">
      <c r="A15" s="23" t="s">
        <v>12</v>
      </c>
      <c r="B15" s="21"/>
      <c r="C15" s="85">
        <f>SUM(C13:C14)</f>
        <v>20661</v>
      </c>
      <c r="D15" s="85">
        <f>SUM(D13:D14)</f>
        <v>23451.67</v>
      </c>
      <c r="E15" s="85">
        <f>SUM(E13:E14)</f>
        <v>20000</v>
      </c>
      <c r="F15" s="5">
        <f>SUM(F10:F12)</f>
        <v>23000</v>
      </c>
      <c r="H15" s="21"/>
    </row>
    <row r="16" spans="1:8" ht="18" customHeight="1">
      <c r="A16" s="23"/>
      <c r="B16" s="21"/>
      <c r="C16" s="25"/>
      <c r="D16" s="85"/>
      <c r="E16" s="85"/>
      <c r="F16" s="85"/>
      <c r="H16" s="21"/>
    </row>
    <row r="17" spans="1:8" ht="12.75">
      <c r="A17" s="23" t="s">
        <v>13</v>
      </c>
      <c r="B17" s="21"/>
      <c r="C17" s="3"/>
      <c r="E17" s="21"/>
      <c r="F17" s="22" t="s">
        <v>7</v>
      </c>
      <c r="H17" s="21"/>
    </row>
    <row r="18" spans="1:8" ht="12.75">
      <c r="A18" s="21" t="s">
        <v>42</v>
      </c>
      <c r="B18" s="21"/>
      <c r="C18" s="3" t="s">
        <v>7</v>
      </c>
      <c r="D18" s="22">
        <v>0</v>
      </c>
      <c r="E18" s="21">
        <v>0</v>
      </c>
      <c r="F18" s="53">
        <v>39847.36</v>
      </c>
      <c r="H18" s="21"/>
    </row>
    <row r="19" spans="1:8" ht="12.75">
      <c r="A19" s="21"/>
      <c r="B19" s="21" t="s">
        <v>430</v>
      </c>
      <c r="C19" s="3">
        <v>19103</v>
      </c>
      <c r="D19" s="161">
        <v>26451.67</v>
      </c>
      <c r="E19" s="21">
        <v>20000</v>
      </c>
      <c r="F19" s="161">
        <v>25000</v>
      </c>
      <c r="H19" s="21"/>
    </row>
    <row r="20" spans="1:8" ht="12.75">
      <c r="A20" s="21"/>
      <c r="B20" s="21" t="s">
        <v>195</v>
      </c>
      <c r="C20" s="15">
        <v>152</v>
      </c>
      <c r="D20" s="167">
        <v>0</v>
      </c>
      <c r="E20" s="32">
        <v>0</v>
      </c>
      <c r="F20" s="167">
        <v>0</v>
      </c>
      <c r="H20" s="21"/>
    </row>
    <row r="21" spans="1:8" ht="12.75">
      <c r="A21" s="21"/>
      <c r="B21" s="21"/>
      <c r="C21" s="3"/>
      <c r="E21" s="21"/>
      <c r="F21" s="22">
        <v>0</v>
      </c>
      <c r="H21" s="21"/>
    </row>
    <row r="22" spans="1:8" ht="12.75">
      <c r="A22" s="23" t="s">
        <v>16</v>
      </c>
      <c r="B22" s="21"/>
      <c r="C22" s="5">
        <f>SUM(C18:C21)</f>
        <v>19255</v>
      </c>
      <c r="D22" s="23">
        <f>SUM(D17:D20)</f>
        <v>26451.67</v>
      </c>
      <c r="E22" s="23">
        <f>SUM(E17:E20)</f>
        <v>20000</v>
      </c>
      <c r="F22" s="23">
        <v>25000</v>
      </c>
      <c r="H22" s="21"/>
    </row>
    <row r="23" spans="1:8" ht="12.75">
      <c r="A23" s="21"/>
      <c r="B23" s="21" t="s">
        <v>17</v>
      </c>
      <c r="C23" s="15">
        <f>C15</f>
        <v>20661</v>
      </c>
      <c r="D23" s="15">
        <f>D15</f>
        <v>23451.67</v>
      </c>
      <c r="E23" s="15">
        <f>E15</f>
        <v>20000</v>
      </c>
      <c r="F23" s="15">
        <f>F15</f>
        <v>23000</v>
      </c>
      <c r="H23" s="21"/>
    </row>
    <row r="24" spans="1:8" ht="12.75">
      <c r="A24" s="21"/>
      <c r="B24" s="21"/>
      <c r="C24" s="3"/>
      <c r="E24" s="21"/>
      <c r="H24" s="21"/>
    </row>
    <row r="25" spans="1:8" ht="18.75" customHeight="1">
      <c r="A25" s="23" t="s">
        <v>18</v>
      </c>
      <c r="B25" s="21"/>
      <c r="C25" s="25">
        <f>SUM(C22-C23)</f>
        <v>-1406</v>
      </c>
      <c r="D25" s="85">
        <f>SUM(D22-D23)</f>
        <v>3000</v>
      </c>
      <c r="E25" s="85">
        <f>SUM(E22-E23)</f>
        <v>0</v>
      </c>
      <c r="F25" s="85">
        <f>SUM(F22-F23)</f>
        <v>2000</v>
      </c>
      <c r="H25" s="2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r:id="rId1"/>
  <headerFooter alignWithMargins="0">
    <oddFooter>&amp;CPage &amp;P&amp;RKENO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SheetLayoutView="75" zoomScalePageLayoutView="0" workbookViewId="0" topLeftCell="A1">
      <pane xSplit="2" ySplit="7" topLeftCell="C8" activePane="bottomRight" state="frozen"/>
      <selection pane="topLeft" activeCell="I104" sqref="I104"/>
      <selection pane="topRight" activeCell="I104" sqref="I104"/>
      <selection pane="bottomLeft" activeCell="I104" sqref="I104"/>
      <selection pane="bottomRight" activeCell="F20" sqref="F20"/>
    </sheetView>
  </sheetViews>
  <sheetFormatPr defaultColWidth="9.00390625" defaultRowHeight="12.75"/>
  <cols>
    <col min="1" max="1" width="4.625" style="22" customWidth="1"/>
    <col min="2" max="2" width="21.25390625" style="22" customWidth="1"/>
    <col min="3" max="7" width="11.625" style="22" customWidth="1"/>
    <col min="8" max="16384" width="9.00390625" style="22" customWidth="1"/>
  </cols>
  <sheetData>
    <row r="1" spans="1:7" ht="12.75">
      <c r="A1" s="210" t="s">
        <v>267</v>
      </c>
      <c r="B1" s="212"/>
      <c r="C1" s="212"/>
      <c r="D1" s="212"/>
      <c r="E1" s="212"/>
      <c r="F1" s="212"/>
      <c r="G1" s="21"/>
    </row>
    <row r="2" spans="1:7" ht="12.75">
      <c r="A2" s="210" t="s">
        <v>470</v>
      </c>
      <c r="B2" s="212"/>
      <c r="C2" s="212"/>
      <c r="D2" s="212"/>
      <c r="E2" s="212"/>
      <c r="F2" s="212"/>
      <c r="G2" s="21"/>
    </row>
    <row r="3" spans="1:7" ht="12.75">
      <c r="A3" s="3"/>
      <c r="B3" s="3"/>
      <c r="C3" s="24"/>
      <c r="D3" s="5"/>
      <c r="E3" s="3"/>
      <c r="F3" s="3"/>
      <c r="G3" s="21"/>
    </row>
    <row r="4" spans="1:7" ht="12.75">
      <c r="A4" s="3"/>
      <c r="B4" s="3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  <c r="G4" s="37"/>
    </row>
    <row r="5" spans="1:7" ht="12.75">
      <c r="A5" s="3"/>
      <c r="B5" s="3"/>
      <c r="C5" s="36" t="s">
        <v>2</v>
      </c>
      <c r="D5" s="36" t="s">
        <v>2</v>
      </c>
      <c r="E5" s="36" t="s">
        <v>2</v>
      </c>
      <c r="F5" s="36" t="s">
        <v>2</v>
      </c>
      <c r="G5" s="21"/>
    </row>
    <row r="6" spans="1:7" ht="12.75">
      <c r="A6" s="3"/>
      <c r="B6" s="3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  <c r="G6" s="37"/>
    </row>
    <row r="7" spans="1:7" ht="12.75">
      <c r="A7" s="3"/>
      <c r="B7" s="3"/>
      <c r="C7" s="7" t="s">
        <v>3</v>
      </c>
      <c r="D7" s="36" t="s">
        <v>194</v>
      </c>
      <c r="E7" s="36" t="s">
        <v>191</v>
      </c>
      <c r="F7" s="36" t="s">
        <v>191</v>
      </c>
      <c r="G7" s="21"/>
    </row>
    <row r="8" spans="1:7" ht="12.75">
      <c r="A8" s="3"/>
      <c r="B8" s="3"/>
      <c r="C8" s="3"/>
      <c r="D8" s="3"/>
      <c r="E8" s="3"/>
      <c r="F8" s="3"/>
      <c r="G8" s="21"/>
    </row>
    <row r="9" spans="1:7" ht="12.75">
      <c r="A9" s="5" t="s">
        <v>4</v>
      </c>
      <c r="B9" s="3"/>
      <c r="C9" s="3"/>
      <c r="D9" s="3"/>
      <c r="E9" s="3"/>
      <c r="F9" s="3"/>
      <c r="G9" s="21"/>
    </row>
    <row r="10" spans="1:7" ht="12.75">
      <c r="A10" s="3"/>
      <c r="B10" s="3"/>
      <c r="C10" s="3"/>
      <c r="E10" s="24"/>
      <c r="G10" s="21"/>
    </row>
    <row r="11" spans="1:7" ht="12.75">
      <c r="A11" s="5">
        <v>521</v>
      </c>
      <c r="B11" s="5" t="s">
        <v>263</v>
      </c>
      <c r="C11" s="22">
        <v>0</v>
      </c>
      <c r="D11" s="161">
        <v>0</v>
      </c>
      <c r="E11" s="24">
        <v>0</v>
      </c>
      <c r="F11" s="161"/>
      <c r="G11" s="21"/>
    </row>
    <row r="12" spans="1:7" ht="12.75">
      <c r="A12" s="5">
        <v>556</v>
      </c>
      <c r="B12" s="3" t="s">
        <v>348</v>
      </c>
      <c r="C12" s="27">
        <v>8927</v>
      </c>
      <c r="D12" s="167">
        <v>16548</v>
      </c>
      <c r="E12" s="30">
        <v>18625</v>
      </c>
      <c r="F12" s="167">
        <v>0</v>
      </c>
      <c r="G12" s="21"/>
    </row>
    <row r="13" spans="1:7" ht="12.75">
      <c r="A13" s="3"/>
      <c r="B13" s="3"/>
      <c r="C13" s="3"/>
      <c r="E13" s="3"/>
      <c r="G13" s="21"/>
    </row>
    <row r="14" spans="1:7" ht="12.75">
      <c r="A14" s="5" t="s">
        <v>30</v>
      </c>
      <c r="B14" s="5"/>
      <c r="C14" s="5">
        <f>SUM(C10:C13)</f>
        <v>8927</v>
      </c>
      <c r="D14" s="5">
        <f>SUM(D10:D13)</f>
        <v>16548</v>
      </c>
      <c r="E14" s="5">
        <f>SUM(E10:E13)</f>
        <v>18625</v>
      </c>
      <c r="F14" s="5">
        <f>SUM(F10:F13)</f>
        <v>0</v>
      </c>
      <c r="G14" s="23"/>
    </row>
    <row r="15" spans="1:8" ht="12.75">
      <c r="A15" s="23"/>
      <c r="B15" s="21" t="s">
        <v>11</v>
      </c>
      <c r="C15" s="5">
        <v>0</v>
      </c>
      <c r="D15" s="23">
        <v>0</v>
      </c>
      <c r="E15" s="51">
        <v>0</v>
      </c>
      <c r="F15" s="51">
        <v>0</v>
      </c>
      <c r="H15" s="21"/>
    </row>
    <row r="16" spans="1:8" ht="18" customHeight="1">
      <c r="A16" s="23" t="s">
        <v>12</v>
      </c>
      <c r="B16" s="21"/>
      <c r="C16" s="25">
        <f>SUM(C14:C15)</f>
        <v>8927</v>
      </c>
      <c r="D16" s="85">
        <f>SUM(D14:D15)</f>
        <v>16548</v>
      </c>
      <c r="E16" s="85">
        <f>SUM(E14:E15)</f>
        <v>18625</v>
      </c>
      <c r="F16" s="85">
        <f>SUM(F14:F15)</f>
        <v>0</v>
      </c>
      <c r="H16" s="21"/>
    </row>
    <row r="17" spans="1:8" ht="12.75">
      <c r="A17" s="21"/>
      <c r="B17" s="21"/>
      <c r="C17" s="3"/>
      <c r="E17" s="21"/>
      <c r="H17" s="21"/>
    </row>
    <row r="18" spans="1:8" ht="12.75">
      <c r="A18" s="23" t="s">
        <v>13</v>
      </c>
      <c r="B18" s="21"/>
      <c r="C18" s="3"/>
      <c r="E18" s="21"/>
      <c r="H18" s="21"/>
    </row>
    <row r="19" spans="1:8" ht="12.75">
      <c r="A19" s="21" t="s">
        <v>42</v>
      </c>
      <c r="B19" s="21"/>
      <c r="C19" s="3" t="s">
        <v>7</v>
      </c>
      <c r="D19" s="22">
        <v>0</v>
      </c>
      <c r="E19" s="21">
        <v>0</v>
      </c>
      <c r="F19" s="53">
        <v>20162.02</v>
      </c>
      <c r="H19" s="21"/>
    </row>
    <row r="20" spans="1:8" ht="12.75">
      <c r="A20" s="21"/>
      <c r="B20" s="21" t="s">
        <v>416</v>
      </c>
      <c r="C20" s="3">
        <v>5522</v>
      </c>
      <c r="D20" s="161">
        <v>4880</v>
      </c>
      <c r="E20" s="21">
        <v>18625</v>
      </c>
      <c r="F20" s="161">
        <v>0</v>
      </c>
      <c r="H20" s="21"/>
    </row>
    <row r="21" spans="1:8" ht="12.75">
      <c r="A21" s="21"/>
      <c r="B21" s="21" t="s">
        <v>195</v>
      </c>
      <c r="C21" s="15">
        <v>64</v>
      </c>
      <c r="D21" s="167">
        <v>40</v>
      </c>
      <c r="E21" s="32">
        <v>0</v>
      </c>
      <c r="F21" s="167">
        <v>0</v>
      </c>
      <c r="H21" s="21"/>
    </row>
    <row r="22" spans="1:8" ht="12.75">
      <c r="A22" s="21"/>
      <c r="B22" s="21"/>
      <c r="C22" s="3"/>
      <c r="E22" s="21"/>
      <c r="H22" s="21"/>
    </row>
    <row r="23" spans="1:8" ht="12.75">
      <c r="A23" s="23" t="s">
        <v>16</v>
      </c>
      <c r="B23" s="21"/>
      <c r="C23" s="5">
        <f>SUM(C19:C22)</f>
        <v>5586</v>
      </c>
      <c r="D23" s="23">
        <f>SUM(D18:D21)</f>
        <v>4920</v>
      </c>
      <c r="E23" s="23">
        <f>SUM(E18:E21)</f>
        <v>18625</v>
      </c>
      <c r="F23" s="23">
        <f>SUM(F18:F21)</f>
        <v>20162.02</v>
      </c>
      <c r="H23" s="21"/>
    </row>
    <row r="24" spans="1:8" ht="12.75">
      <c r="A24" s="21"/>
      <c r="B24" s="21" t="s">
        <v>17</v>
      </c>
      <c r="C24" s="15">
        <f>C16</f>
        <v>8927</v>
      </c>
      <c r="D24" s="32">
        <f>D16</f>
        <v>16548</v>
      </c>
      <c r="E24" s="32">
        <f>E16</f>
        <v>18625</v>
      </c>
      <c r="F24" s="32">
        <f>F16</f>
        <v>0</v>
      </c>
      <c r="H24" s="21"/>
    </row>
    <row r="25" spans="1:8" ht="12.75">
      <c r="A25" s="21"/>
      <c r="B25" s="21"/>
      <c r="C25" s="3"/>
      <c r="E25" s="21"/>
      <c r="H25" s="21"/>
    </row>
    <row r="26" spans="1:8" ht="18.75" customHeight="1">
      <c r="A26" s="23" t="s">
        <v>18</v>
      </c>
      <c r="B26" s="21"/>
      <c r="C26" s="25">
        <f>SUM(C23-C24)</f>
        <v>-3341</v>
      </c>
      <c r="D26" s="85">
        <f>SUM(D23-D24)</f>
        <v>-11628</v>
      </c>
      <c r="E26" s="85">
        <f>SUM(E23-E24)</f>
        <v>0</v>
      </c>
      <c r="F26" s="85">
        <f>SUM(F23-F24)</f>
        <v>20162.02</v>
      </c>
      <c r="H26" s="21"/>
    </row>
    <row r="27" spans="1:7" ht="12.75">
      <c r="A27" s="21"/>
      <c r="B27" s="21"/>
      <c r="C27" s="21"/>
      <c r="D27" s="21"/>
      <c r="E27" s="21"/>
      <c r="F27" s="21"/>
      <c r="G27" s="21"/>
    </row>
    <row r="28" spans="1:7" ht="12.75">
      <c r="A28" s="21"/>
      <c r="B28" s="21"/>
      <c r="C28" s="21"/>
      <c r="D28" s="21"/>
      <c r="E28" s="21"/>
      <c r="F28" s="21"/>
      <c r="G28" s="21"/>
    </row>
    <row r="29" spans="1:7" ht="12.75">
      <c r="A29" s="21"/>
      <c r="B29" s="21"/>
      <c r="C29" s="21"/>
      <c r="D29" s="21"/>
      <c r="E29" s="21"/>
      <c r="F29" s="21"/>
      <c r="G29" s="21"/>
    </row>
    <row r="30" spans="1:7" ht="12.75">
      <c r="A30" s="21"/>
      <c r="B30" s="21"/>
      <c r="C30" s="21"/>
      <c r="D30" s="21"/>
      <c r="E30" s="21"/>
      <c r="F30" s="21"/>
      <c r="G30" s="21"/>
    </row>
    <row r="31" spans="1:7" ht="12.75">
      <c r="A31" s="21"/>
      <c r="B31" s="21"/>
      <c r="C31" s="21"/>
      <c r="D31" s="21"/>
      <c r="E31" s="21"/>
      <c r="F31" s="21"/>
      <c r="G31" s="2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r:id="rId1"/>
  <headerFooter alignWithMargins="0">
    <oddFooter>&amp;CPage &amp;P&amp;RCOMMUNITY DEVELOPMENT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pane xSplit="2" ySplit="7" topLeftCell="C8" activePane="bottomRight" state="frozen"/>
      <selection pane="topLeft" activeCell="I104" sqref="I104"/>
      <selection pane="topRight" activeCell="I104" sqref="I104"/>
      <selection pane="bottomLeft" activeCell="I104" sqref="I104"/>
      <selection pane="bottomRight" activeCell="F18" sqref="F18"/>
    </sheetView>
  </sheetViews>
  <sheetFormatPr defaultColWidth="9.00390625" defaultRowHeight="12.75"/>
  <cols>
    <col min="1" max="1" width="4.625" style="22" customWidth="1"/>
    <col min="2" max="2" width="20.50390625" style="22" customWidth="1"/>
    <col min="3" max="7" width="11.625" style="22" customWidth="1"/>
    <col min="8" max="16384" width="9.00390625" style="22" customWidth="1"/>
  </cols>
  <sheetData>
    <row r="1" spans="1:7" ht="12.75">
      <c r="A1" s="210" t="s">
        <v>267</v>
      </c>
      <c r="B1" s="211"/>
      <c r="C1" s="211"/>
      <c r="D1" s="211"/>
      <c r="E1" s="211"/>
      <c r="F1" s="211"/>
      <c r="G1" s="21"/>
    </row>
    <row r="2" spans="1:7" ht="12.75">
      <c r="A2" s="210" t="s">
        <v>456</v>
      </c>
      <c r="B2" s="212"/>
      <c r="C2" s="212"/>
      <c r="D2" s="212"/>
      <c r="E2" s="212"/>
      <c r="F2" s="212"/>
      <c r="G2" s="21"/>
    </row>
    <row r="3" spans="1:7" ht="12.75">
      <c r="A3" s="3"/>
      <c r="B3" s="3"/>
      <c r="C3" s="3"/>
      <c r="D3" s="3"/>
      <c r="E3" s="3"/>
      <c r="F3" s="3"/>
      <c r="G3" s="21"/>
    </row>
    <row r="4" spans="1:7" ht="12.75">
      <c r="A4" s="3"/>
      <c r="B4" s="3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  <c r="G4" s="37"/>
    </row>
    <row r="5" spans="1:7" ht="12.75">
      <c r="A5" s="3"/>
      <c r="B5" s="3"/>
      <c r="C5" s="36" t="s">
        <v>2</v>
      </c>
      <c r="D5" s="36" t="s">
        <v>2</v>
      </c>
      <c r="E5" s="36" t="s">
        <v>2</v>
      </c>
      <c r="F5" s="36" t="s">
        <v>2</v>
      </c>
      <c r="G5" s="21"/>
    </row>
    <row r="6" spans="1:7" ht="12.75">
      <c r="A6" s="3"/>
      <c r="B6" s="3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  <c r="G6" s="37"/>
    </row>
    <row r="7" spans="1:7" ht="12.75">
      <c r="A7" s="3"/>
      <c r="B7" s="3"/>
      <c r="C7" s="7" t="s">
        <v>3</v>
      </c>
      <c r="D7" s="36" t="s">
        <v>194</v>
      </c>
      <c r="E7" s="36" t="s">
        <v>191</v>
      </c>
      <c r="F7" s="36" t="s">
        <v>191</v>
      </c>
      <c r="G7" s="21"/>
    </row>
    <row r="8" spans="1:7" ht="12.75">
      <c r="A8" s="3"/>
      <c r="B8" s="3"/>
      <c r="C8" s="3"/>
      <c r="D8" s="3"/>
      <c r="E8" s="3"/>
      <c r="F8" s="3"/>
      <c r="G8" s="21"/>
    </row>
    <row r="9" spans="1:7" ht="12.75">
      <c r="A9" s="5" t="s">
        <v>4</v>
      </c>
      <c r="B9" s="3"/>
      <c r="C9" s="3"/>
      <c r="D9" s="3"/>
      <c r="E9" s="3"/>
      <c r="F9" s="3"/>
      <c r="G9" s="21"/>
    </row>
    <row r="10" spans="1:7" ht="17.25" customHeight="1">
      <c r="A10" s="5">
        <v>556</v>
      </c>
      <c r="B10" s="5" t="s">
        <v>434</v>
      </c>
      <c r="C10" s="15">
        <v>3523</v>
      </c>
      <c r="D10" s="167">
        <v>573</v>
      </c>
      <c r="E10" s="30">
        <v>1371</v>
      </c>
      <c r="F10" s="167">
        <v>0</v>
      </c>
      <c r="G10" s="21"/>
    </row>
    <row r="11" spans="1:7" ht="12.75">
      <c r="A11" s="3"/>
      <c r="B11" s="3"/>
      <c r="C11" s="3"/>
      <c r="E11" s="3"/>
      <c r="G11" s="21"/>
    </row>
    <row r="12" spans="1:7" ht="12.75">
      <c r="A12" s="5" t="s">
        <v>30</v>
      </c>
      <c r="B12" s="5"/>
      <c r="C12" s="136">
        <f>SUM(C10)</f>
        <v>3523</v>
      </c>
      <c r="D12" s="136">
        <f>SUM(D10)</f>
        <v>573</v>
      </c>
      <c r="E12" s="136">
        <f>SUM(E10)</f>
        <v>1371</v>
      </c>
      <c r="F12" s="136">
        <f>SUM(F10)</f>
        <v>0</v>
      </c>
      <c r="G12" s="23"/>
    </row>
    <row r="13" spans="1:8" ht="12.75">
      <c r="A13" s="23"/>
      <c r="B13" s="21" t="s">
        <v>11</v>
      </c>
      <c r="C13" s="5">
        <v>0</v>
      </c>
      <c r="D13" s="23">
        <v>0</v>
      </c>
      <c r="E13" s="23">
        <v>0</v>
      </c>
      <c r="F13" s="51">
        <v>0</v>
      </c>
      <c r="H13" s="21"/>
    </row>
    <row r="14" spans="1:8" ht="18" customHeight="1">
      <c r="A14" s="23" t="s">
        <v>12</v>
      </c>
      <c r="B14" s="21"/>
      <c r="C14" s="85">
        <f>SUM(C12:C13)</f>
        <v>3523</v>
      </c>
      <c r="D14" s="85">
        <f>SUM(D12:D13)</f>
        <v>573</v>
      </c>
      <c r="E14" s="85">
        <f>SUM(E12:E13)</f>
        <v>1371</v>
      </c>
      <c r="F14" s="85">
        <f>SUM(F12:F13)</f>
        <v>0</v>
      </c>
      <c r="H14" s="21"/>
    </row>
    <row r="15" spans="1:8" ht="12.75">
      <c r="A15" s="21"/>
      <c r="B15" s="21"/>
      <c r="C15" s="3"/>
      <c r="E15" s="21"/>
      <c r="H15" s="21"/>
    </row>
    <row r="16" spans="1:8" ht="12.75">
      <c r="A16" s="23" t="s">
        <v>13</v>
      </c>
      <c r="B16" s="21"/>
      <c r="C16" s="3"/>
      <c r="E16" s="21"/>
      <c r="H16" s="21"/>
    </row>
    <row r="17" spans="1:8" ht="12.75">
      <c r="A17" s="21" t="s">
        <v>42</v>
      </c>
      <c r="B17" s="21"/>
      <c r="C17" s="3" t="s">
        <v>7</v>
      </c>
      <c r="D17" s="22">
        <v>0</v>
      </c>
      <c r="E17" s="21">
        <v>0</v>
      </c>
      <c r="F17" s="53">
        <v>11392.67</v>
      </c>
      <c r="H17" s="21"/>
    </row>
    <row r="18" spans="1:8" ht="12.75">
      <c r="A18" s="21"/>
      <c r="B18" s="21" t="s">
        <v>416</v>
      </c>
      <c r="C18" s="3">
        <v>2969</v>
      </c>
      <c r="D18" s="161">
        <v>574</v>
      </c>
      <c r="E18" s="21">
        <v>1371</v>
      </c>
      <c r="F18" s="161" t="s">
        <v>7</v>
      </c>
      <c r="H18" s="21"/>
    </row>
    <row r="19" spans="1:8" ht="12.75">
      <c r="A19" s="21"/>
      <c r="B19" s="21" t="s">
        <v>195</v>
      </c>
      <c r="C19" s="15">
        <v>10</v>
      </c>
      <c r="D19" s="167">
        <v>5</v>
      </c>
      <c r="E19" s="32">
        <v>0</v>
      </c>
      <c r="F19" s="167">
        <v>0</v>
      </c>
      <c r="H19" s="21"/>
    </row>
    <row r="20" spans="1:8" ht="12.75">
      <c r="A20" s="21"/>
      <c r="B20" s="21"/>
      <c r="C20" s="3"/>
      <c r="E20" s="21"/>
      <c r="H20" s="21"/>
    </row>
    <row r="21" spans="1:8" ht="12.75">
      <c r="A21" s="23" t="s">
        <v>16</v>
      </c>
      <c r="B21" s="21"/>
      <c r="C21" s="5">
        <f>SUM(C17:C20)</f>
        <v>2979</v>
      </c>
      <c r="D21" s="23">
        <f>SUM(D16:D19)</f>
        <v>579</v>
      </c>
      <c r="E21" s="23">
        <f>SUM(E16:E19)</f>
        <v>1371</v>
      </c>
      <c r="F21" s="23">
        <f>SUM(F16:F19)</f>
        <v>11392.67</v>
      </c>
      <c r="H21" s="21"/>
    </row>
    <row r="22" spans="1:8" ht="12.75">
      <c r="A22" s="21"/>
      <c r="B22" s="21" t="s">
        <v>17</v>
      </c>
      <c r="C22" s="15">
        <f>C14</f>
        <v>3523</v>
      </c>
      <c r="D22" s="32">
        <f>D14</f>
        <v>573</v>
      </c>
      <c r="E22" s="32">
        <f>E14</f>
        <v>1371</v>
      </c>
      <c r="F22" s="32">
        <f>F14</f>
        <v>0</v>
      </c>
      <c r="H22" s="21"/>
    </row>
    <row r="23" spans="1:8" ht="12.75">
      <c r="A23" s="21"/>
      <c r="B23" s="21"/>
      <c r="C23" s="3"/>
      <c r="E23" s="21"/>
      <c r="H23" s="21"/>
    </row>
    <row r="24" spans="1:8" ht="18.75" customHeight="1">
      <c r="A24" s="23" t="s">
        <v>18</v>
      </c>
      <c r="B24" s="21"/>
      <c r="C24" s="25">
        <f>SUM(C21-C22)</f>
        <v>-544</v>
      </c>
      <c r="D24" s="85">
        <f>SUM(D21-D22)</f>
        <v>6</v>
      </c>
      <c r="E24" s="85">
        <f>SUM(E21-E22)</f>
        <v>0</v>
      </c>
      <c r="F24" s="85">
        <f>SUM(F21-F22)</f>
        <v>11392.67</v>
      </c>
      <c r="H24" s="21"/>
    </row>
    <row r="25" spans="1:8" ht="18.75" customHeight="1">
      <c r="A25" s="23"/>
      <c r="B25" s="21"/>
      <c r="C25" s="25"/>
      <c r="D25" s="85"/>
      <c r="E25" s="85"/>
      <c r="F25" s="85"/>
      <c r="H25" s="21"/>
    </row>
    <row r="26" spans="1:7" ht="12.75">
      <c r="A26" s="21"/>
      <c r="B26" s="21"/>
      <c r="C26" s="21"/>
      <c r="D26" s="21"/>
      <c r="F26" s="21"/>
      <c r="G26" s="21"/>
    </row>
    <row r="27" spans="1:7" ht="12.75">
      <c r="A27" s="21"/>
      <c r="B27" s="21"/>
      <c r="C27" s="21"/>
      <c r="D27" s="21"/>
      <c r="E27" s="21"/>
      <c r="F27" s="21"/>
      <c r="G27" s="21"/>
    </row>
    <row r="28" spans="1:7" ht="12.75">
      <c r="A28" s="21"/>
      <c r="B28" s="21"/>
      <c r="D28" s="21"/>
      <c r="E28" s="21"/>
      <c r="F28" s="21"/>
      <c r="G28" s="21"/>
    </row>
    <row r="29" spans="1:7" ht="12.75">
      <c r="A29" s="21"/>
      <c r="B29" s="21"/>
      <c r="C29" s="21"/>
      <c r="D29" s="21"/>
      <c r="E29" s="21"/>
      <c r="F29" s="21"/>
      <c r="G29" s="21"/>
    </row>
    <row r="30" spans="1:7" ht="12.75">
      <c r="A30" s="23"/>
      <c r="B30" s="23"/>
      <c r="C30" s="23"/>
      <c r="D30" s="23"/>
      <c r="E30" s="23"/>
      <c r="F30" s="23"/>
      <c r="G30" s="21"/>
    </row>
    <row r="31" spans="1:7" ht="12.75">
      <c r="A31" s="21"/>
      <c r="B31" s="21"/>
      <c r="C31" s="21"/>
      <c r="D31" s="21"/>
      <c r="E31" s="21"/>
      <c r="F31" s="21"/>
      <c r="G31" s="21"/>
    </row>
    <row r="32" spans="1:7" ht="12.75">
      <c r="A32" s="21"/>
      <c r="B32" s="21"/>
      <c r="C32" s="21"/>
      <c r="D32" s="21"/>
      <c r="E32" s="21"/>
      <c r="F32" s="21"/>
      <c r="G32" s="21"/>
    </row>
    <row r="33" spans="1:7" ht="12.75">
      <c r="A33" s="21"/>
      <c r="B33" s="21"/>
      <c r="C33" s="21"/>
      <c r="D33" s="21"/>
      <c r="E33" s="21"/>
      <c r="F33" s="21"/>
      <c r="G33" s="21"/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1"/>
      <c r="B35" s="21"/>
      <c r="C35" s="21"/>
      <c r="D35" s="21"/>
      <c r="E35" s="21"/>
      <c r="F35" s="21"/>
      <c r="G35" s="21"/>
    </row>
    <row r="36" spans="1:7" ht="12.75">
      <c r="A36" s="21"/>
      <c r="B36" s="21"/>
      <c r="C36" s="21"/>
      <c r="D36" s="21"/>
      <c r="E36" s="21"/>
      <c r="F36" s="21"/>
      <c r="G36" s="21"/>
    </row>
    <row r="37" spans="1:7" ht="12.75">
      <c r="A37" s="21"/>
      <c r="B37" s="21"/>
      <c r="C37" s="21"/>
      <c r="D37" s="21"/>
      <c r="E37" s="21"/>
      <c r="F37" s="21"/>
      <c r="G37" s="21"/>
    </row>
    <row r="38" spans="1:7" ht="12.75">
      <c r="A38" s="21"/>
      <c r="B38" s="21"/>
      <c r="C38" s="21"/>
      <c r="D38" s="21"/>
      <c r="E38" s="21"/>
      <c r="F38" s="21"/>
      <c r="G38" s="21"/>
    </row>
    <row r="39" spans="1:7" ht="12.75">
      <c r="A39" s="21"/>
      <c r="B39" s="21"/>
      <c r="C39" s="21"/>
      <c r="D39" s="21"/>
      <c r="E39" s="21"/>
      <c r="F39" s="21"/>
      <c r="G39" s="2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r:id="rId1"/>
  <headerFooter alignWithMargins="0">
    <oddFooter>&amp;CPage &amp;P&amp;RHOUSING AUTHORITY
</oddFooter>
  </headerFooter>
  <rowBreaks count="1" manualBreakCount="1">
    <brk id="2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pane xSplit="2" ySplit="7" topLeftCell="C17" activePane="bottomRight" state="frozen"/>
      <selection pane="topLeft" activeCell="I104" sqref="I104"/>
      <selection pane="topRight" activeCell="I104" sqref="I104"/>
      <selection pane="bottomLeft" activeCell="I104" sqref="I104"/>
      <selection pane="bottomRight" activeCell="E15" sqref="E15"/>
    </sheetView>
  </sheetViews>
  <sheetFormatPr defaultColWidth="9.00390625" defaultRowHeight="12.75"/>
  <cols>
    <col min="1" max="1" width="4.625" style="22" customWidth="1"/>
    <col min="2" max="2" width="29.625" style="22" customWidth="1"/>
    <col min="3" max="3" width="11.625" style="24" customWidth="1"/>
    <col min="4" max="8" width="11.625" style="22" customWidth="1"/>
    <col min="9" max="16384" width="9.00390625" style="22" customWidth="1"/>
  </cols>
  <sheetData>
    <row r="1" spans="1:8" ht="12.75">
      <c r="A1" s="210" t="s">
        <v>267</v>
      </c>
      <c r="B1" s="211"/>
      <c r="C1" s="211"/>
      <c r="D1" s="211"/>
      <c r="E1" s="211"/>
      <c r="F1" s="211"/>
      <c r="G1" s="21"/>
      <c r="H1" s="21"/>
    </row>
    <row r="2" spans="1:8" ht="12.75">
      <c r="A2" s="210" t="s">
        <v>680</v>
      </c>
      <c r="B2" s="211"/>
      <c r="C2" s="211"/>
      <c r="D2" s="211"/>
      <c r="E2" s="211"/>
      <c r="F2" s="211"/>
      <c r="G2" s="21"/>
      <c r="H2" s="21"/>
    </row>
    <row r="3" spans="2:8" ht="12.75">
      <c r="B3" s="21"/>
      <c r="C3" s="3"/>
      <c r="D3" s="21"/>
      <c r="E3" s="21"/>
      <c r="F3" s="21"/>
      <c r="G3" s="21"/>
      <c r="H3" s="21"/>
    </row>
    <row r="4" spans="2:8" ht="12.75">
      <c r="B4" s="21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  <c r="H4" s="37"/>
    </row>
    <row r="5" spans="2:8" ht="12.75">
      <c r="B5" s="21"/>
      <c r="C5" s="36" t="s">
        <v>2</v>
      </c>
      <c r="D5" s="36" t="s">
        <v>2</v>
      </c>
      <c r="E5" s="36" t="s">
        <v>2</v>
      </c>
      <c r="F5" s="36" t="s">
        <v>2</v>
      </c>
      <c r="H5" s="21"/>
    </row>
    <row r="6" spans="2:8" ht="12.75">
      <c r="B6" s="21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  <c r="H6" s="37"/>
    </row>
    <row r="7" spans="2:8" ht="12.75">
      <c r="B7" s="21"/>
      <c r="C7" s="7" t="s">
        <v>3</v>
      </c>
      <c r="D7" s="36" t="s">
        <v>194</v>
      </c>
      <c r="E7" s="36" t="s">
        <v>191</v>
      </c>
      <c r="F7" s="36" t="s">
        <v>191</v>
      </c>
      <c r="H7" s="21"/>
    </row>
    <row r="8" spans="2:8" ht="12.75">
      <c r="B8" s="21"/>
      <c r="C8" s="3"/>
      <c r="D8" s="21"/>
      <c r="E8" s="21"/>
      <c r="F8" s="21"/>
      <c r="H8" s="21"/>
    </row>
    <row r="9" spans="1:8" ht="12.75">
      <c r="A9" s="23" t="s">
        <v>4</v>
      </c>
      <c r="B9" s="23"/>
      <c r="C9" s="3"/>
      <c r="D9" s="21"/>
      <c r="E9" s="21"/>
      <c r="F9" s="21"/>
      <c r="H9" s="21"/>
    </row>
    <row r="10" spans="1:8" ht="12.75">
      <c r="A10" s="21"/>
      <c r="B10" s="21"/>
      <c r="C10" s="3"/>
      <c r="H10" s="21"/>
    </row>
    <row r="11" spans="1:8" ht="12.75">
      <c r="A11" s="21"/>
      <c r="B11" s="21" t="s">
        <v>14</v>
      </c>
      <c r="C11" s="3">
        <v>0</v>
      </c>
      <c r="D11" s="161">
        <v>0</v>
      </c>
      <c r="F11" s="161"/>
      <c r="H11" s="21"/>
    </row>
    <row r="12" spans="1:8" ht="12.75">
      <c r="A12" s="21">
        <v>561</v>
      </c>
      <c r="B12" s="21" t="s">
        <v>408</v>
      </c>
      <c r="C12" s="3">
        <v>0</v>
      </c>
      <c r="D12" s="161">
        <v>0</v>
      </c>
      <c r="E12" s="22">
        <v>0</v>
      </c>
      <c r="F12" s="161">
        <v>0</v>
      </c>
      <c r="H12" s="21"/>
    </row>
    <row r="13" spans="1:8" ht="12.75">
      <c r="A13" s="21">
        <v>562</v>
      </c>
      <c r="B13" s="21" t="s">
        <v>409</v>
      </c>
      <c r="C13" s="3">
        <v>0</v>
      </c>
      <c r="D13" s="161">
        <v>0</v>
      </c>
      <c r="E13" s="22">
        <v>0</v>
      </c>
      <c r="F13" s="161">
        <v>0</v>
      </c>
      <c r="G13" s="22" t="s">
        <v>7</v>
      </c>
      <c r="H13" s="21"/>
    </row>
    <row r="14" spans="1:8" ht="12.75">
      <c r="A14" s="21"/>
      <c r="B14" s="21" t="s">
        <v>407</v>
      </c>
      <c r="C14" s="15" t="s">
        <v>7</v>
      </c>
      <c r="D14" s="167" t="s">
        <v>7</v>
      </c>
      <c r="E14" s="27" t="s">
        <v>7</v>
      </c>
      <c r="F14" s="167" t="s">
        <v>7</v>
      </c>
      <c r="H14" s="21"/>
    </row>
    <row r="15" spans="1:8" ht="12.75">
      <c r="A15" s="21"/>
      <c r="B15" s="21"/>
      <c r="C15" s="3"/>
      <c r="H15" s="21"/>
    </row>
    <row r="16" spans="1:8" ht="12.75">
      <c r="A16" s="23" t="s">
        <v>30</v>
      </c>
      <c r="B16" s="21"/>
      <c r="C16" s="136">
        <f>SUM(C10:C15)</f>
        <v>0</v>
      </c>
      <c r="D16" s="136">
        <f>SUM(D10:D15)</f>
        <v>0</v>
      </c>
      <c r="E16" s="136">
        <f>SUM(E10:E15)</f>
        <v>0</v>
      </c>
      <c r="F16" s="5">
        <f>SUM(F10:F15)</f>
        <v>0</v>
      </c>
      <c r="H16" s="21"/>
    </row>
    <row r="17" spans="1:8" ht="12.75">
      <c r="A17" s="23"/>
      <c r="B17" s="21" t="s">
        <v>11</v>
      </c>
      <c r="C17" s="5">
        <v>0</v>
      </c>
      <c r="D17" s="23">
        <v>0</v>
      </c>
      <c r="E17" s="51">
        <v>0</v>
      </c>
      <c r="F17" s="51">
        <v>0</v>
      </c>
      <c r="H17" s="21"/>
    </row>
    <row r="18" spans="1:8" ht="18" customHeight="1">
      <c r="A18" s="23" t="s">
        <v>12</v>
      </c>
      <c r="B18" s="21"/>
      <c r="C18" s="85">
        <f>SUM(C16:C17)</f>
        <v>0</v>
      </c>
      <c r="D18" s="85">
        <f>SUM(D16:D17)</f>
        <v>0</v>
      </c>
      <c r="E18" s="85">
        <f>SUM(E16:E17)</f>
        <v>0</v>
      </c>
      <c r="F18" s="85">
        <f>SUM(F16:F17)</f>
        <v>0</v>
      </c>
      <c r="H18" s="21"/>
    </row>
    <row r="19" spans="1:8" ht="12.75">
      <c r="A19" s="21"/>
      <c r="B19" s="21"/>
      <c r="C19" s="3"/>
      <c r="E19" s="21"/>
      <c r="H19" s="21"/>
    </row>
    <row r="20" spans="1:8" ht="12.75">
      <c r="A20" s="23" t="s">
        <v>13</v>
      </c>
      <c r="B20" s="21"/>
      <c r="C20" s="3"/>
      <c r="E20" s="21"/>
      <c r="H20" s="21"/>
    </row>
    <row r="21" spans="1:8" ht="12.75">
      <c r="A21" s="21" t="s">
        <v>42</v>
      </c>
      <c r="B21" s="21"/>
      <c r="C21" s="3" t="s">
        <v>7</v>
      </c>
      <c r="D21" s="22" t="s">
        <v>7</v>
      </c>
      <c r="E21" s="21" t="s">
        <v>7</v>
      </c>
      <c r="F21" s="53" t="s">
        <v>7</v>
      </c>
      <c r="H21" s="21"/>
    </row>
    <row r="22" spans="1:8" ht="12.75">
      <c r="A22" s="21"/>
      <c r="B22" s="21" t="s">
        <v>410</v>
      </c>
      <c r="C22" s="3">
        <v>0</v>
      </c>
      <c r="D22" s="161">
        <v>0</v>
      </c>
      <c r="E22" s="21">
        <v>0</v>
      </c>
      <c r="F22" s="161">
        <v>0</v>
      </c>
      <c r="G22" s="22" t="s">
        <v>7</v>
      </c>
      <c r="H22" s="21"/>
    </row>
    <row r="23" spans="1:8" ht="12.75">
      <c r="A23" s="21"/>
      <c r="B23" s="21" t="s">
        <v>411</v>
      </c>
      <c r="C23" s="3">
        <v>0</v>
      </c>
      <c r="D23" s="161">
        <v>0</v>
      </c>
      <c r="E23" s="21"/>
      <c r="F23" s="161">
        <v>0</v>
      </c>
      <c r="H23" s="21"/>
    </row>
    <row r="24" spans="1:8" ht="12.75">
      <c r="A24" s="21"/>
      <c r="B24" s="21" t="s">
        <v>412</v>
      </c>
      <c r="C24" s="3"/>
      <c r="D24" s="161"/>
      <c r="E24" s="21"/>
      <c r="F24" s="161"/>
      <c r="H24" s="21"/>
    </row>
    <row r="25" spans="1:8" ht="12.75">
      <c r="A25" s="21">
        <v>420</v>
      </c>
      <c r="B25" s="21" t="s">
        <v>301</v>
      </c>
      <c r="C25" s="3">
        <v>0</v>
      </c>
      <c r="D25" s="161">
        <v>0</v>
      </c>
      <c r="E25" s="21">
        <v>0</v>
      </c>
      <c r="F25" s="161">
        <v>0</v>
      </c>
      <c r="H25" s="21"/>
    </row>
    <row r="26" spans="1:8" ht="12.75">
      <c r="A26" s="21">
        <v>426</v>
      </c>
      <c r="B26" s="21" t="s">
        <v>14</v>
      </c>
      <c r="C26" s="3"/>
      <c r="D26" s="161"/>
      <c r="E26" s="21"/>
      <c r="F26" s="161"/>
      <c r="H26" s="21"/>
    </row>
    <row r="27" spans="1:8" ht="12.75">
      <c r="A27" s="21">
        <v>429</v>
      </c>
      <c r="B27" s="21" t="s">
        <v>195</v>
      </c>
      <c r="C27" s="3">
        <v>0</v>
      </c>
      <c r="D27" s="161">
        <v>0</v>
      </c>
      <c r="E27" s="21">
        <v>0</v>
      </c>
      <c r="F27" s="161">
        <v>0</v>
      </c>
      <c r="H27" s="21"/>
    </row>
    <row r="28" spans="1:8" ht="12.75">
      <c r="A28" s="21">
        <v>481</v>
      </c>
      <c r="B28" s="21" t="s">
        <v>305</v>
      </c>
      <c r="C28" s="3"/>
      <c r="D28" s="161"/>
      <c r="E28" s="21"/>
      <c r="F28" s="161"/>
      <c r="H28" s="21"/>
    </row>
    <row r="29" spans="1:8" ht="12.75">
      <c r="A29" s="21"/>
      <c r="B29" s="21"/>
      <c r="C29" s="3"/>
      <c r="E29" s="21"/>
      <c r="H29" s="21"/>
    </row>
    <row r="30" spans="1:8" ht="12.75">
      <c r="A30" s="23" t="s">
        <v>16</v>
      </c>
      <c r="B30" s="21"/>
      <c r="C30" s="5">
        <f>SUM(C21:C28)</f>
        <v>0</v>
      </c>
      <c r="D30" s="5">
        <f>SUM(D21:D28)</f>
        <v>0</v>
      </c>
      <c r="E30" s="5">
        <f>SUM(E21:E28)</f>
        <v>0</v>
      </c>
      <c r="F30" s="5">
        <v>0</v>
      </c>
      <c r="H30" s="21"/>
    </row>
    <row r="31" spans="1:8" ht="12.75">
      <c r="A31" s="21"/>
      <c r="B31" s="21" t="s">
        <v>17</v>
      </c>
      <c r="C31" s="15">
        <f>SUM(C18)</f>
        <v>0</v>
      </c>
      <c r="D31" s="32">
        <f>SUM(D18)</f>
        <v>0</v>
      </c>
      <c r="E31" s="32">
        <f>SUM(E18)</f>
        <v>0</v>
      </c>
      <c r="F31" s="32">
        <f>SUM(F18)</f>
        <v>0</v>
      </c>
      <c r="H31" s="21"/>
    </row>
    <row r="32" spans="1:8" ht="12.75">
      <c r="A32" s="21"/>
      <c r="B32" s="21"/>
      <c r="C32" s="3"/>
      <c r="E32" s="21"/>
      <c r="H32" s="21"/>
    </row>
    <row r="33" spans="1:8" ht="18.75" customHeight="1">
      <c r="A33" s="23" t="s">
        <v>18</v>
      </c>
      <c r="B33" s="21"/>
      <c r="C33" s="25">
        <f>SUM(C30-C31)</f>
        <v>0</v>
      </c>
      <c r="D33" s="85">
        <f>SUM(D30-D31)</f>
        <v>0</v>
      </c>
      <c r="E33" s="85">
        <f>SUM(E30-E31)</f>
        <v>0</v>
      </c>
      <c r="F33" s="85">
        <f>SUM(F30-F31)</f>
        <v>0</v>
      </c>
      <c r="H33" s="21"/>
    </row>
    <row r="34" spans="1:8" ht="12.75">
      <c r="A34" s="21"/>
      <c r="B34" s="21"/>
      <c r="C34" s="3"/>
      <c r="D34" s="21"/>
      <c r="E34" s="21"/>
      <c r="H34" s="21"/>
    </row>
    <row r="35" spans="1:8" ht="12.75">
      <c r="A35" s="21"/>
      <c r="B35" s="21"/>
      <c r="C35" s="3"/>
      <c r="D35" s="21"/>
      <c r="E35" s="21"/>
      <c r="F35" s="21"/>
      <c r="G35" s="21"/>
      <c r="H35" s="21"/>
    </row>
    <row r="36" spans="1:8" ht="12.75">
      <c r="A36" s="21"/>
      <c r="B36" s="21"/>
      <c r="C36" s="3"/>
      <c r="D36" s="21"/>
      <c r="E36" s="21"/>
      <c r="F36" s="21"/>
      <c r="G36" s="21"/>
      <c r="H36" s="21"/>
    </row>
    <row r="37" spans="1:8" ht="12.75">
      <c r="A37" s="21"/>
      <c r="B37" s="21"/>
      <c r="C37" s="3"/>
      <c r="D37" s="21"/>
      <c r="E37" s="21"/>
      <c r="F37" s="21"/>
      <c r="G37" s="21"/>
      <c r="H37" s="21"/>
    </row>
    <row r="38" spans="1:8" ht="12.75">
      <c r="A38" s="21"/>
      <c r="B38" s="21"/>
      <c r="C38" s="3"/>
      <c r="D38" s="21"/>
      <c r="E38" s="21"/>
      <c r="F38" s="21"/>
      <c r="G38" s="21"/>
      <c r="H38" s="21"/>
    </row>
    <row r="39" spans="1:8" ht="12.75">
      <c r="A39" s="21"/>
      <c r="B39" s="21"/>
      <c r="C39" s="3"/>
      <c r="D39" s="21"/>
      <c r="E39" s="21"/>
      <c r="F39" s="21"/>
      <c r="G39" s="21"/>
      <c r="H39" s="21"/>
    </row>
    <row r="40" spans="1:8" ht="12.75">
      <c r="A40" s="21"/>
      <c r="B40" s="21"/>
      <c r="C40" s="3"/>
      <c r="D40" s="21"/>
      <c r="E40" s="21"/>
      <c r="F40" s="21"/>
      <c r="G40" s="21"/>
      <c r="H40" s="21"/>
    </row>
    <row r="41" spans="1:8" ht="12.75">
      <c r="A41" s="21"/>
      <c r="B41" s="21"/>
      <c r="C41" s="3"/>
      <c r="D41" s="21"/>
      <c r="E41" s="21"/>
      <c r="F41" s="21"/>
      <c r="G41" s="21"/>
      <c r="H41" s="21"/>
    </row>
    <row r="42" spans="1:8" ht="12.75">
      <c r="A42" s="21"/>
      <c r="B42" s="21"/>
      <c r="C42" s="3"/>
      <c r="D42" s="21"/>
      <c r="E42" s="21"/>
      <c r="F42" s="21"/>
      <c r="G42" s="21"/>
      <c r="H42" s="2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r:id="rId1"/>
  <headerFooter alignWithMargins="0">
    <oddFooter>&amp;CPage &amp;P&amp;RDEBT SERVICE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13"/>
  <sheetViews>
    <sheetView showGridLines="0" zoomScaleSheetLayoutView="100" zoomScalePageLayoutView="50" workbookViewId="0" topLeftCell="A34">
      <selection activeCell="D10" sqref="D10"/>
    </sheetView>
  </sheetViews>
  <sheetFormatPr defaultColWidth="9.00390625" defaultRowHeight="12.75"/>
  <cols>
    <col min="1" max="1" width="4.625" style="22" customWidth="1"/>
    <col min="2" max="2" width="21.25390625" style="22" customWidth="1"/>
    <col min="3" max="7" width="11.625" style="22" customWidth="1"/>
    <col min="8" max="16384" width="9.00390625" style="22" customWidth="1"/>
  </cols>
  <sheetData>
    <row r="1" spans="1:7" ht="12.75">
      <c r="A1" s="210" t="s">
        <v>267</v>
      </c>
      <c r="B1" s="212"/>
      <c r="C1" s="212"/>
      <c r="D1" s="212"/>
      <c r="E1" s="212"/>
      <c r="F1" s="212"/>
      <c r="G1" s="21"/>
    </row>
    <row r="2" spans="1:7" ht="12.75">
      <c r="A2" s="210" t="s">
        <v>457</v>
      </c>
      <c r="B2" s="211"/>
      <c r="C2" s="211"/>
      <c r="D2" s="211"/>
      <c r="E2" s="211"/>
      <c r="F2" s="211"/>
      <c r="G2" s="21"/>
    </row>
    <row r="3" spans="1:7" ht="12.75">
      <c r="A3" s="3"/>
      <c r="B3" s="3"/>
      <c r="C3" s="3"/>
      <c r="D3" s="3"/>
      <c r="E3" s="3"/>
      <c r="F3" s="3"/>
      <c r="G3" s="21"/>
    </row>
    <row r="4" spans="1:7" ht="12.75">
      <c r="A4" s="3"/>
      <c r="B4" s="3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  <c r="G4" s="37"/>
    </row>
    <row r="5" spans="1:7" ht="12.75">
      <c r="A5" s="3"/>
      <c r="B5" s="3"/>
      <c r="C5" s="36" t="s">
        <v>2</v>
      </c>
      <c r="D5" s="36" t="s">
        <v>2</v>
      </c>
      <c r="E5" s="36" t="s">
        <v>2</v>
      </c>
      <c r="F5" s="36" t="s">
        <v>2</v>
      </c>
      <c r="G5" s="21"/>
    </row>
    <row r="6" spans="1:7" ht="12.75">
      <c r="A6" s="3"/>
      <c r="B6" s="3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  <c r="G6" s="37"/>
    </row>
    <row r="7" spans="1:7" ht="12.75">
      <c r="A7" s="3"/>
      <c r="B7" s="3"/>
      <c r="C7" s="7" t="s">
        <v>3</v>
      </c>
      <c r="D7" s="36" t="s">
        <v>194</v>
      </c>
      <c r="E7" s="36" t="s">
        <v>191</v>
      </c>
      <c r="F7" s="36" t="s">
        <v>191</v>
      </c>
      <c r="G7" s="21"/>
    </row>
    <row r="8" spans="1:7" ht="12.75">
      <c r="A8" s="5" t="s">
        <v>4</v>
      </c>
      <c r="B8" s="3"/>
      <c r="C8" s="3"/>
      <c r="D8" s="3"/>
      <c r="E8" s="3"/>
      <c r="F8" s="3"/>
      <c r="G8" s="21"/>
    </row>
    <row r="9" spans="1:7" ht="12.75">
      <c r="A9" s="3">
        <v>511</v>
      </c>
      <c r="B9" s="3" t="s">
        <v>20</v>
      </c>
      <c r="C9" s="3">
        <v>101671</v>
      </c>
      <c r="D9" s="161">
        <v>97099.42</v>
      </c>
      <c r="E9" s="162">
        <v>109968</v>
      </c>
      <c r="F9" s="162">
        <v>101091</v>
      </c>
      <c r="G9" s="21" t="s">
        <v>7</v>
      </c>
    </row>
    <row r="10" spans="1:7" ht="12.75">
      <c r="A10" s="3">
        <v>513</v>
      </c>
      <c r="B10" s="3" t="s">
        <v>22</v>
      </c>
      <c r="C10" s="3">
        <v>44725.88</v>
      </c>
      <c r="D10" s="161">
        <v>50111.62</v>
      </c>
      <c r="E10" s="161">
        <v>51898</v>
      </c>
      <c r="F10" s="161">
        <v>41364.82</v>
      </c>
      <c r="G10" s="21" t="s">
        <v>7</v>
      </c>
    </row>
    <row r="11" spans="1:7" ht="12.75">
      <c r="A11" s="3">
        <v>514</v>
      </c>
      <c r="B11" s="3" t="s">
        <v>23</v>
      </c>
      <c r="C11" s="3">
        <v>7785.53</v>
      </c>
      <c r="D11" s="161">
        <v>7547.34</v>
      </c>
      <c r="E11" s="161">
        <v>8412</v>
      </c>
      <c r="F11" s="161">
        <v>7733.46</v>
      </c>
      <c r="G11" s="21" t="s">
        <v>7</v>
      </c>
    </row>
    <row r="12" spans="1:7" ht="12.75">
      <c r="A12" s="3">
        <v>515</v>
      </c>
      <c r="B12" s="3" t="s">
        <v>339</v>
      </c>
      <c r="C12" s="3">
        <v>5028.72</v>
      </c>
      <c r="D12" s="161">
        <v>4821.54</v>
      </c>
      <c r="E12" s="161">
        <v>5498</v>
      </c>
      <c r="F12" s="161">
        <v>5054.55</v>
      </c>
      <c r="G12" s="21" t="s">
        <v>7</v>
      </c>
    </row>
    <row r="13" spans="1:7" ht="12.75">
      <c r="A13" s="3">
        <v>520</v>
      </c>
      <c r="B13" s="3" t="s">
        <v>340</v>
      </c>
      <c r="C13" s="3">
        <v>2240.62</v>
      </c>
      <c r="D13" s="161">
        <v>600</v>
      </c>
      <c r="E13" s="161">
        <v>2000</v>
      </c>
      <c r="F13" s="161">
        <v>2000</v>
      </c>
      <c r="G13" s="21" t="s">
        <v>7</v>
      </c>
    </row>
    <row r="14" spans="1:7" ht="12.75">
      <c r="A14" s="3">
        <v>521</v>
      </c>
      <c r="B14" s="3" t="s">
        <v>263</v>
      </c>
      <c r="C14" s="3">
        <v>1044</v>
      </c>
      <c r="D14" s="161">
        <v>1136.9</v>
      </c>
      <c r="E14" s="161">
        <v>5000</v>
      </c>
      <c r="F14" s="161">
        <v>1500</v>
      </c>
      <c r="G14" s="21" t="s">
        <v>7</v>
      </c>
    </row>
    <row r="15" spans="1:7" ht="12.75">
      <c r="A15" s="3">
        <v>522</v>
      </c>
      <c r="B15" s="3" t="s">
        <v>219</v>
      </c>
      <c r="C15" s="3">
        <v>6569.22</v>
      </c>
      <c r="D15" s="161">
        <v>6792.18</v>
      </c>
      <c r="E15" s="161">
        <v>6213</v>
      </c>
      <c r="F15" s="161">
        <v>6799</v>
      </c>
      <c r="G15" s="21" t="s">
        <v>7</v>
      </c>
    </row>
    <row r="16" spans="1:7" ht="12.75">
      <c r="A16" s="3">
        <v>523</v>
      </c>
      <c r="B16" s="3" t="s">
        <v>43</v>
      </c>
      <c r="C16" s="3">
        <v>62.17</v>
      </c>
      <c r="D16" s="161">
        <v>0</v>
      </c>
      <c r="E16" s="161">
        <v>100</v>
      </c>
      <c r="F16" s="161">
        <v>100</v>
      </c>
      <c r="G16" s="21" t="s">
        <v>7</v>
      </c>
    </row>
    <row r="17" spans="1:7" ht="12.75">
      <c r="A17" s="3">
        <v>524</v>
      </c>
      <c r="B17" s="3" t="s">
        <v>266</v>
      </c>
      <c r="C17" s="3">
        <v>0</v>
      </c>
      <c r="D17" s="161">
        <v>0</v>
      </c>
      <c r="E17" s="161">
        <v>100</v>
      </c>
      <c r="F17" s="161">
        <v>100</v>
      </c>
      <c r="G17" s="21" t="s">
        <v>7</v>
      </c>
    </row>
    <row r="18" spans="1:7" ht="12.75">
      <c r="A18" s="3">
        <v>525</v>
      </c>
      <c r="B18" s="3" t="s">
        <v>27</v>
      </c>
      <c r="C18" s="3">
        <v>33897.32</v>
      </c>
      <c r="D18" s="161">
        <v>30467.64</v>
      </c>
      <c r="E18" s="161">
        <v>37287</v>
      </c>
      <c r="F18" s="161">
        <v>33514.8</v>
      </c>
      <c r="G18" s="21" t="s">
        <v>7</v>
      </c>
    </row>
    <row r="19" spans="1:7" ht="12.75">
      <c r="A19" s="3">
        <v>526</v>
      </c>
      <c r="B19" s="3" t="s">
        <v>36</v>
      </c>
      <c r="C19" s="3">
        <v>877252.97</v>
      </c>
      <c r="D19" s="161">
        <v>1018944.77</v>
      </c>
      <c r="E19" s="161">
        <v>904421</v>
      </c>
      <c r="F19" s="161">
        <v>950000</v>
      </c>
      <c r="G19" s="21" t="s">
        <v>7</v>
      </c>
    </row>
    <row r="20" spans="1:7" ht="12.75">
      <c r="A20" s="3">
        <v>529</v>
      </c>
      <c r="B20" s="3" t="s">
        <v>317</v>
      </c>
      <c r="C20" s="3">
        <v>0</v>
      </c>
      <c r="D20" s="161">
        <v>0</v>
      </c>
      <c r="E20" s="161">
        <v>50</v>
      </c>
      <c r="F20" s="161">
        <v>50</v>
      </c>
      <c r="G20" s="21" t="s">
        <v>7</v>
      </c>
    </row>
    <row r="21" spans="1:7" ht="12.75">
      <c r="A21" s="3">
        <v>532</v>
      </c>
      <c r="B21" s="3" t="s">
        <v>264</v>
      </c>
      <c r="C21" s="3">
        <v>20444.62</v>
      </c>
      <c r="D21" s="161">
        <v>22351.77</v>
      </c>
      <c r="E21" s="161">
        <v>25000</v>
      </c>
      <c r="F21" s="161">
        <v>20000</v>
      </c>
      <c r="G21" s="21" t="s">
        <v>7</v>
      </c>
    </row>
    <row r="22" spans="1:8" ht="12.75">
      <c r="A22" s="3">
        <v>554</v>
      </c>
      <c r="B22" s="3" t="s">
        <v>603</v>
      </c>
      <c r="C22" s="3"/>
      <c r="D22" s="161"/>
      <c r="E22" s="161">
        <v>0</v>
      </c>
      <c r="F22" s="161" t="s">
        <v>7</v>
      </c>
      <c r="G22" s="21" t="s">
        <v>7</v>
      </c>
      <c r="H22" s="22" t="s">
        <v>7</v>
      </c>
    </row>
    <row r="23" spans="1:8" ht="12.75">
      <c r="A23" s="3">
        <v>561</v>
      </c>
      <c r="B23" s="3" t="s">
        <v>265</v>
      </c>
      <c r="C23" s="3">
        <v>5091</v>
      </c>
      <c r="D23" s="161">
        <v>0</v>
      </c>
      <c r="E23" s="161">
        <v>0</v>
      </c>
      <c r="F23" s="161">
        <v>0</v>
      </c>
      <c r="G23" s="21"/>
      <c r="H23" s="22" t="s">
        <v>7</v>
      </c>
    </row>
    <row r="24" spans="1:7" ht="12.75">
      <c r="A24" s="3">
        <v>562</v>
      </c>
      <c r="B24" s="3" t="s">
        <v>195</v>
      </c>
      <c r="C24" s="3">
        <v>72</v>
      </c>
      <c r="D24" s="161">
        <v>0</v>
      </c>
      <c r="E24" s="161">
        <v>0</v>
      </c>
      <c r="F24" s="161">
        <v>0</v>
      </c>
      <c r="G24" s="21"/>
    </row>
    <row r="25" spans="1:7" ht="12.75">
      <c r="A25" s="3">
        <v>581</v>
      </c>
      <c r="B25" s="3" t="s">
        <v>329</v>
      </c>
      <c r="C25" s="3">
        <v>0</v>
      </c>
      <c r="D25" s="161">
        <v>0</v>
      </c>
      <c r="E25" s="173" t="s">
        <v>7</v>
      </c>
      <c r="F25" s="173" t="s">
        <v>7</v>
      </c>
      <c r="G25" s="21" t="s">
        <v>7</v>
      </c>
    </row>
    <row r="26" spans="1:7" ht="12.75">
      <c r="A26" s="3"/>
      <c r="B26" s="3" t="s">
        <v>427</v>
      </c>
      <c r="C26" s="15">
        <v>0</v>
      </c>
      <c r="D26" s="164">
        <v>124013</v>
      </c>
      <c r="E26" s="164">
        <v>119942</v>
      </c>
      <c r="F26" s="164">
        <v>118424</v>
      </c>
      <c r="G26" s="21"/>
    </row>
    <row r="27" spans="1:7" ht="12.75">
      <c r="A27" s="3"/>
      <c r="B27" s="3"/>
      <c r="C27" s="3"/>
      <c r="E27" s="3"/>
      <c r="G27" s="21"/>
    </row>
    <row r="28" spans="1:8" ht="12.75">
      <c r="A28" s="5" t="s">
        <v>30</v>
      </c>
      <c r="B28" s="5"/>
      <c r="C28" s="136">
        <f>SUM(C9:C27)</f>
        <v>1105885.05</v>
      </c>
      <c r="D28" s="136">
        <f>SUM(D9:D27)</f>
        <v>1363886.1800000002</v>
      </c>
      <c r="E28" s="5">
        <f>SUM(E9:E27)</f>
        <v>1275889</v>
      </c>
      <c r="F28" s="5">
        <f>SUM(F9:F27)</f>
        <v>1287731.63</v>
      </c>
      <c r="G28" s="23" t="s">
        <v>7</v>
      </c>
      <c r="H28" s="22">
        <f>SUM(D28-E28)</f>
        <v>87997.18000000017</v>
      </c>
    </row>
    <row r="29" spans="1:7" ht="12.75">
      <c r="A29" s="3"/>
      <c r="B29" s="3" t="s">
        <v>11</v>
      </c>
      <c r="C29" s="3">
        <v>0</v>
      </c>
      <c r="D29" s="24">
        <v>0</v>
      </c>
      <c r="E29" s="15">
        <v>0</v>
      </c>
      <c r="F29" s="27">
        <v>0</v>
      </c>
      <c r="G29" s="21"/>
    </row>
    <row r="30" spans="1:7" ht="21" customHeight="1">
      <c r="A30" s="5" t="s">
        <v>12</v>
      </c>
      <c r="B30" s="5"/>
      <c r="C30" s="25">
        <f>SUM(C28:C29)</f>
        <v>1105885.05</v>
      </c>
      <c r="D30" s="25">
        <f>SUM(D28:D29)</f>
        <v>1363886.1800000002</v>
      </c>
      <c r="E30" s="25">
        <f>SUM(E28:E29)</f>
        <v>1275889</v>
      </c>
      <c r="F30" s="25">
        <f>SUM(F28:F29)</f>
        <v>1287731.63</v>
      </c>
      <c r="G30" s="23" t="s">
        <v>7</v>
      </c>
    </row>
    <row r="31" spans="1:7" ht="12.75">
      <c r="A31" s="3"/>
      <c r="B31" s="3"/>
      <c r="C31" s="3"/>
      <c r="D31" s="24"/>
      <c r="E31" s="3"/>
      <c r="F31" s="24"/>
      <c r="G31" s="21"/>
    </row>
    <row r="32" spans="1:7" ht="12.75">
      <c r="A32" s="5" t="s">
        <v>13</v>
      </c>
      <c r="B32" s="3"/>
      <c r="C32" s="3"/>
      <c r="D32" s="21"/>
      <c r="E32" s="3"/>
      <c r="F32" s="21"/>
      <c r="G32" s="21"/>
    </row>
    <row r="33" spans="1:7" ht="12.75">
      <c r="A33" s="3" t="s">
        <v>42</v>
      </c>
      <c r="B33" s="3"/>
      <c r="C33" s="3" t="s">
        <v>7</v>
      </c>
      <c r="D33" s="21">
        <v>0</v>
      </c>
      <c r="E33" s="3">
        <v>0</v>
      </c>
      <c r="F33" s="23">
        <v>0</v>
      </c>
      <c r="G33" s="21"/>
    </row>
    <row r="34" spans="1:7" ht="12.75">
      <c r="A34" s="3">
        <v>426</v>
      </c>
      <c r="B34" s="3" t="s">
        <v>302</v>
      </c>
      <c r="C34" s="3">
        <v>0</v>
      </c>
      <c r="D34" s="162">
        <v>0</v>
      </c>
      <c r="E34" s="162" t="s">
        <v>7</v>
      </c>
      <c r="F34" s="162">
        <v>0</v>
      </c>
      <c r="G34" s="21"/>
    </row>
    <row r="35" spans="1:7" ht="12.75">
      <c r="A35" s="3">
        <v>429</v>
      </c>
      <c r="B35" s="3" t="s">
        <v>195</v>
      </c>
      <c r="C35" s="3">
        <v>0</v>
      </c>
      <c r="D35" s="162">
        <v>0</v>
      </c>
      <c r="E35" s="162">
        <v>0</v>
      </c>
      <c r="F35" s="162" t="s">
        <v>7</v>
      </c>
      <c r="G35" s="21" t="s">
        <v>7</v>
      </c>
    </row>
    <row r="36" spans="1:7" ht="12.75">
      <c r="A36" s="3">
        <v>447</v>
      </c>
      <c r="B36" s="3" t="s">
        <v>615</v>
      </c>
      <c r="C36" s="3">
        <v>1318755.17</v>
      </c>
      <c r="D36" s="162">
        <v>1487243.92</v>
      </c>
      <c r="E36" s="162">
        <v>1406399</v>
      </c>
      <c r="F36" s="162">
        <v>1400000</v>
      </c>
      <c r="G36" s="21" t="s">
        <v>7</v>
      </c>
    </row>
    <row r="37" spans="1:7" ht="12.75">
      <c r="A37" s="3">
        <v>449</v>
      </c>
      <c r="B37" s="3" t="s">
        <v>425</v>
      </c>
      <c r="C37" s="3">
        <v>4200</v>
      </c>
      <c r="D37" s="162">
        <v>11408.46</v>
      </c>
      <c r="E37" s="162">
        <v>5000</v>
      </c>
      <c r="F37" s="162">
        <v>5000</v>
      </c>
      <c r="G37" s="21" t="s">
        <v>7</v>
      </c>
    </row>
    <row r="38" spans="1:7" ht="12.75">
      <c r="A38" s="3"/>
      <c r="B38" s="3" t="s">
        <v>428</v>
      </c>
      <c r="C38" s="3">
        <v>0</v>
      </c>
      <c r="D38" s="162">
        <v>0</v>
      </c>
      <c r="E38" s="162"/>
      <c r="F38" s="162" t="s">
        <v>7</v>
      </c>
      <c r="G38" s="21"/>
    </row>
    <row r="39" spans="1:7" ht="12.75">
      <c r="A39" s="3"/>
      <c r="B39" s="3" t="s">
        <v>426</v>
      </c>
      <c r="C39" s="15">
        <v>55</v>
      </c>
      <c r="D39" s="168">
        <v>268.16</v>
      </c>
      <c r="E39" s="168">
        <v>750</v>
      </c>
      <c r="F39" s="168">
        <v>750</v>
      </c>
      <c r="G39" s="21"/>
    </row>
    <row r="40" spans="1:7" ht="12.75">
      <c r="A40" s="3">
        <v>460</v>
      </c>
      <c r="B40" s="3" t="s">
        <v>604</v>
      </c>
      <c r="C40" s="15">
        <v>0</v>
      </c>
      <c r="D40" s="168">
        <v>0</v>
      </c>
      <c r="E40" s="168" t="s">
        <v>7</v>
      </c>
      <c r="F40" s="168" t="s">
        <v>7</v>
      </c>
      <c r="G40" s="21"/>
    </row>
    <row r="41" spans="1:7" ht="12.75">
      <c r="A41" s="3"/>
      <c r="B41" s="3"/>
      <c r="C41" s="3"/>
      <c r="D41" s="21"/>
      <c r="E41" s="3"/>
      <c r="F41" s="21"/>
      <c r="G41" s="21"/>
    </row>
    <row r="42" spans="1:8" ht="12.75">
      <c r="A42" s="5" t="s">
        <v>16</v>
      </c>
      <c r="B42" s="3"/>
      <c r="C42" s="5">
        <f>SUM(C33:C40)</f>
        <v>1323010.17</v>
      </c>
      <c r="D42" s="5">
        <f>SUM(D33:D40)</f>
        <v>1498920.5399999998</v>
      </c>
      <c r="E42" s="5">
        <f>SUM(E33:E40)</f>
        <v>1412149</v>
      </c>
      <c r="F42" s="5">
        <f>SUM(F33:F40)</f>
        <v>1405750</v>
      </c>
      <c r="G42" s="23" t="s">
        <v>7</v>
      </c>
      <c r="H42" s="22">
        <f>SUM(E42-D42)</f>
        <v>-86771.5399999998</v>
      </c>
    </row>
    <row r="43" spans="1:7" ht="12.75">
      <c r="A43" s="3"/>
      <c r="B43" s="3" t="s">
        <v>17</v>
      </c>
      <c r="C43" s="15">
        <f>SUM(C30)</f>
        <v>1105885.05</v>
      </c>
      <c r="D43" s="15">
        <f>SUM(D30)</f>
        <v>1363886.1800000002</v>
      </c>
      <c r="E43" s="15">
        <f>SUM(E30)</f>
        <v>1275889</v>
      </c>
      <c r="F43" s="15">
        <f>SUM(F30)</f>
        <v>1287731.63</v>
      </c>
      <c r="G43" s="21" t="s">
        <v>7</v>
      </c>
    </row>
    <row r="44" spans="1:7" ht="12.75">
      <c r="A44" s="3"/>
      <c r="B44" s="3"/>
      <c r="C44" s="3"/>
      <c r="D44" s="3"/>
      <c r="E44" s="3"/>
      <c r="F44" s="3" t="s">
        <v>7</v>
      </c>
      <c r="G44" s="21"/>
    </row>
    <row r="45" spans="1:7" ht="18.75" customHeight="1">
      <c r="A45" s="5" t="s">
        <v>18</v>
      </c>
      <c r="B45" s="5"/>
      <c r="C45" s="25">
        <f>SUM(C42-C43)</f>
        <v>217125.11999999988</v>
      </c>
      <c r="D45" s="25">
        <f>SUM(D42-D43)</f>
        <v>135034.35999999964</v>
      </c>
      <c r="E45" s="25">
        <f>SUM(E42-E43)</f>
        <v>136260</v>
      </c>
      <c r="F45" s="25">
        <f>+F42-F43</f>
        <v>118018.37000000011</v>
      </c>
      <c r="G45" s="23" t="s">
        <v>7</v>
      </c>
    </row>
    <row r="46" spans="1:7" ht="12.75">
      <c r="A46" s="3"/>
      <c r="B46" s="3"/>
      <c r="C46" s="3"/>
      <c r="D46" s="24"/>
      <c r="E46" s="3"/>
      <c r="F46" s="24"/>
      <c r="G46" s="21"/>
    </row>
    <row r="47" spans="1:9" ht="12.75">
      <c r="A47" s="3"/>
      <c r="B47" s="3"/>
      <c r="C47" s="21" t="s">
        <v>459</v>
      </c>
      <c r="D47" s="24"/>
      <c r="E47" s="3"/>
      <c r="F47" s="24"/>
      <c r="G47" s="21"/>
      <c r="I47" s="21"/>
    </row>
    <row r="48" spans="1:9" ht="12.75">
      <c r="A48" s="3"/>
      <c r="B48" s="3"/>
      <c r="C48" s="21" t="s">
        <v>660</v>
      </c>
      <c r="D48" s="24"/>
      <c r="E48" s="3"/>
      <c r="F48" s="24"/>
      <c r="G48" s="21"/>
      <c r="I48" s="21"/>
    </row>
    <row r="49" spans="1:9" ht="12.75">
      <c r="A49" s="3"/>
      <c r="B49" s="3"/>
      <c r="C49" s="21" t="s">
        <v>458</v>
      </c>
      <c r="D49" s="24"/>
      <c r="E49" s="3"/>
      <c r="F49" s="24"/>
      <c r="G49" s="21"/>
      <c r="I49" s="21"/>
    </row>
    <row r="50" spans="1:9" ht="12.75">
      <c r="A50" s="3"/>
      <c r="B50" s="3"/>
      <c r="C50" s="21"/>
      <c r="D50" s="24"/>
      <c r="E50" s="3"/>
      <c r="F50" s="24"/>
      <c r="G50" s="21"/>
      <c r="I50" s="21"/>
    </row>
    <row r="51" spans="1:7" ht="12.75">
      <c r="A51" s="23" t="s">
        <v>282</v>
      </c>
      <c r="B51" s="3"/>
      <c r="C51" s="3"/>
      <c r="E51" s="3"/>
      <c r="G51" s="21"/>
    </row>
    <row r="52" spans="1:7" ht="12.75">
      <c r="A52" s="5"/>
      <c r="B52" s="3"/>
      <c r="C52" s="3"/>
      <c r="E52" s="3"/>
      <c r="G52" s="21"/>
    </row>
    <row r="53" spans="1:7" ht="12.75">
      <c r="A53" s="5">
        <v>511</v>
      </c>
      <c r="B53" s="5" t="s">
        <v>20</v>
      </c>
      <c r="C53" s="5"/>
      <c r="D53" s="53" t="s">
        <v>7</v>
      </c>
      <c r="E53" s="5"/>
      <c r="F53" s="53">
        <f>SUM(E56+E59+E60+E62+E63+E65)</f>
        <v>101091</v>
      </c>
      <c r="G53" s="21"/>
    </row>
    <row r="54" spans="1:7" ht="12.75">
      <c r="A54" s="3"/>
      <c r="B54" s="3" t="s">
        <v>341</v>
      </c>
      <c r="C54" s="3"/>
      <c r="E54" s="3">
        <v>33425</v>
      </c>
      <c r="G54" s="21"/>
    </row>
    <row r="55" spans="1:7" ht="12.75">
      <c r="A55" s="3"/>
      <c r="B55" s="3" t="s">
        <v>707</v>
      </c>
      <c r="C55" s="3"/>
      <c r="E55" s="3">
        <v>2080</v>
      </c>
      <c r="G55" s="21"/>
    </row>
    <row r="56" spans="1:7" ht="12.75">
      <c r="A56" s="3"/>
      <c r="B56" s="3"/>
      <c r="C56" s="3"/>
      <c r="E56" s="5">
        <f>SUM(E54:E55)</f>
        <v>35505</v>
      </c>
      <c r="G56" s="21"/>
    </row>
    <row r="57" spans="1:7" ht="12.75">
      <c r="A57" s="3"/>
      <c r="B57" s="3"/>
      <c r="C57" s="3"/>
      <c r="E57" s="3"/>
      <c r="G57" s="21"/>
    </row>
    <row r="58" spans="1:7" ht="12.75">
      <c r="A58" s="3"/>
      <c r="B58" s="3"/>
      <c r="C58" s="3"/>
      <c r="E58" s="3"/>
      <c r="G58" s="21"/>
    </row>
    <row r="59" spans="1:7" ht="12.75">
      <c r="A59" s="3"/>
      <c r="B59" s="3" t="s">
        <v>478</v>
      </c>
      <c r="C59" s="3"/>
      <c r="E59" s="5">
        <v>60000</v>
      </c>
      <c r="F59" s="53" t="s">
        <v>7</v>
      </c>
      <c r="G59" s="21"/>
    </row>
    <row r="60" spans="1:7" ht="12.75">
      <c r="A60" s="3"/>
      <c r="B60" s="3" t="s">
        <v>708</v>
      </c>
      <c r="C60" s="3"/>
      <c r="E60" s="5">
        <v>1800</v>
      </c>
      <c r="F60" s="53"/>
      <c r="G60" s="21"/>
    </row>
    <row r="61" spans="1:7" ht="12.75">
      <c r="A61" s="3"/>
      <c r="B61" s="3"/>
      <c r="C61" s="3"/>
      <c r="E61" s="3"/>
      <c r="G61" s="21"/>
    </row>
    <row r="62" spans="1:7" ht="12.75">
      <c r="A62" s="3"/>
      <c r="B62" s="3" t="s">
        <v>709</v>
      </c>
      <c r="C62" s="3"/>
      <c r="E62" s="5">
        <v>2586</v>
      </c>
      <c r="G62" s="21"/>
    </row>
    <row r="63" spans="1:7" ht="12.75">
      <c r="A63" s="3"/>
      <c r="B63" s="3" t="s">
        <v>342</v>
      </c>
      <c r="C63" s="3"/>
      <c r="E63" s="5">
        <v>1200</v>
      </c>
      <c r="G63" s="21"/>
    </row>
    <row r="64" spans="1:7" ht="12.75">
      <c r="A64" s="3"/>
      <c r="B64" s="3"/>
      <c r="C64" s="3"/>
      <c r="E64" s="5"/>
      <c r="G64" s="21"/>
    </row>
    <row r="65" spans="1:7" ht="12.75">
      <c r="A65" s="3"/>
      <c r="B65" s="3"/>
      <c r="C65" s="3"/>
      <c r="E65" s="5"/>
      <c r="G65" s="21"/>
    </row>
    <row r="66" spans="1:7" ht="12.75">
      <c r="A66" s="3"/>
      <c r="B66" s="3"/>
      <c r="C66" s="3"/>
      <c r="E66" s="5"/>
      <c r="G66" s="21"/>
    </row>
    <row r="67" ht="12"/>
    <row r="68" spans="1:7" ht="12.75">
      <c r="A68" s="5">
        <v>513</v>
      </c>
      <c r="B68" s="5" t="s">
        <v>22</v>
      </c>
      <c r="C68" s="5"/>
      <c r="D68" s="53"/>
      <c r="E68" s="5"/>
      <c r="F68" s="53">
        <f>E69</f>
        <v>41365</v>
      </c>
      <c r="G68" s="21"/>
    </row>
    <row r="69" spans="1:7" ht="12.75">
      <c r="A69" s="3"/>
      <c r="B69" s="3" t="s">
        <v>7</v>
      </c>
      <c r="C69" s="3"/>
      <c r="E69" s="3">
        <v>41365</v>
      </c>
      <c r="G69" s="21"/>
    </row>
    <row r="70" spans="1:7" ht="12.75">
      <c r="A70" s="3"/>
      <c r="B70" s="3"/>
      <c r="C70" s="3"/>
      <c r="E70" s="3"/>
      <c r="G70" s="21"/>
    </row>
    <row r="71" spans="1:7" ht="12.75">
      <c r="A71" s="5">
        <v>514</v>
      </c>
      <c r="B71" s="5" t="s">
        <v>23</v>
      </c>
      <c r="C71" s="5"/>
      <c r="D71" s="53"/>
      <c r="E71" s="5"/>
      <c r="F71" s="53">
        <f>ROUND(E72,0)</f>
        <v>7733</v>
      </c>
      <c r="G71" s="21"/>
    </row>
    <row r="72" spans="1:7" ht="12.75">
      <c r="A72" s="3"/>
      <c r="B72" s="3" t="s">
        <v>7</v>
      </c>
      <c r="C72" s="3"/>
      <c r="E72" s="3">
        <v>7733</v>
      </c>
      <c r="G72" s="21"/>
    </row>
    <row r="73" spans="1:7" ht="12.75">
      <c r="A73" s="3"/>
      <c r="B73" s="3"/>
      <c r="C73" s="3"/>
      <c r="E73" s="3"/>
      <c r="G73" s="21"/>
    </row>
    <row r="74" spans="1:7" ht="12.75">
      <c r="A74" s="5">
        <v>515</v>
      </c>
      <c r="B74" s="5" t="s">
        <v>270</v>
      </c>
      <c r="C74" s="5"/>
      <c r="D74" s="53"/>
      <c r="E74" s="5"/>
      <c r="F74" s="53">
        <f>ROUND(E75,0)</f>
        <v>5055</v>
      </c>
      <c r="G74" s="21"/>
    </row>
    <row r="75" spans="1:7" ht="12.75">
      <c r="A75" s="3"/>
      <c r="B75" s="3" t="s">
        <v>7</v>
      </c>
      <c r="C75" s="3"/>
      <c r="E75" s="3">
        <v>5055</v>
      </c>
      <c r="G75" s="21"/>
    </row>
    <row r="76" spans="1:7" ht="12.75">
      <c r="A76" s="3"/>
      <c r="B76" s="3"/>
      <c r="C76" s="3"/>
      <c r="E76" s="3"/>
      <c r="G76" s="21"/>
    </row>
    <row r="77" spans="1:7" ht="12.75">
      <c r="A77" s="5">
        <v>520</v>
      </c>
      <c r="B77" s="5" t="s">
        <v>340</v>
      </c>
      <c r="C77" s="5"/>
      <c r="D77" s="53"/>
      <c r="E77" s="5"/>
      <c r="F77" s="53">
        <f>+E78</f>
        <v>2000</v>
      </c>
      <c r="G77" s="21"/>
    </row>
    <row r="78" spans="1:7" ht="12.75">
      <c r="A78" s="3"/>
      <c r="B78" s="3"/>
      <c r="C78" s="3"/>
      <c r="E78" s="3">
        <v>2000</v>
      </c>
      <c r="G78" s="21"/>
    </row>
    <row r="79" spans="1:7" ht="12.75">
      <c r="A79" s="3"/>
      <c r="B79" s="3"/>
      <c r="C79" s="3"/>
      <c r="E79" s="3"/>
      <c r="G79" s="21"/>
    </row>
    <row r="80" spans="1:7" ht="12.75">
      <c r="A80" s="5">
        <v>521</v>
      </c>
      <c r="B80" s="5" t="s">
        <v>263</v>
      </c>
      <c r="C80" s="5"/>
      <c r="D80" s="53"/>
      <c r="E80" s="5"/>
      <c r="F80" s="53">
        <f>+E81</f>
        <v>1500</v>
      </c>
      <c r="G80" s="21"/>
    </row>
    <row r="81" spans="1:7" ht="12.75">
      <c r="A81" s="3"/>
      <c r="B81" s="3" t="s">
        <v>343</v>
      </c>
      <c r="C81" s="3"/>
      <c r="E81" s="3">
        <v>1500</v>
      </c>
      <c r="G81" s="21"/>
    </row>
    <row r="82" spans="1:7" ht="12.75">
      <c r="A82" s="3"/>
      <c r="B82" s="3"/>
      <c r="C82" s="3"/>
      <c r="E82" s="3"/>
      <c r="G82" s="21"/>
    </row>
    <row r="83" spans="1:7" ht="12.75">
      <c r="A83" s="5">
        <v>522</v>
      </c>
      <c r="B83" s="5" t="s">
        <v>219</v>
      </c>
      <c r="C83" s="5"/>
      <c r="D83" s="53"/>
      <c r="E83" s="5"/>
      <c r="F83" s="53">
        <f>+E84</f>
        <v>6799</v>
      </c>
      <c r="G83" s="21"/>
    </row>
    <row r="84" spans="1:7" ht="12.75">
      <c r="A84" s="3"/>
      <c r="B84" s="3" t="s">
        <v>344</v>
      </c>
      <c r="C84" s="3"/>
      <c r="E84" s="3">
        <v>6799</v>
      </c>
      <c r="G84" s="21"/>
    </row>
    <row r="85" spans="1:7" ht="12.75">
      <c r="A85" s="3"/>
      <c r="B85" s="3"/>
      <c r="C85" s="3"/>
      <c r="E85" s="3"/>
      <c r="G85" s="21"/>
    </row>
    <row r="86" spans="1:7" ht="12.75">
      <c r="A86" s="5">
        <v>523</v>
      </c>
      <c r="B86" s="5" t="s">
        <v>43</v>
      </c>
      <c r="C86" s="5"/>
      <c r="D86" s="53"/>
      <c r="E86" s="5" t="s">
        <v>7</v>
      </c>
      <c r="F86" s="53">
        <f>+E87</f>
        <v>100</v>
      </c>
      <c r="G86" s="21"/>
    </row>
    <row r="87" spans="1:7" ht="12.75">
      <c r="A87" s="3"/>
      <c r="B87" s="3"/>
      <c r="C87" s="3"/>
      <c r="E87" s="3">
        <v>100</v>
      </c>
      <c r="G87" s="21"/>
    </row>
    <row r="88" spans="1:7" ht="12.75">
      <c r="A88" s="3"/>
      <c r="B88" s="3"/>
      <c r="C88" s="3"/>
      <c r="E88" s="3"/>
      <c r="G88" s="21"/>
    </row>
    <row r="89" spans="1:7" ht="12.75">
      <c r="A89" s="5">
        <v>524</v>
      </c>
      <c r="B89" s="5" t="s">
        <v>266</v>
      </c>
      <c r="C89" s="5"/>
      <c r="D89" s="53"/>
      <c r="E89" s="5"/>
      <c r="F89" s="53">
        <f>+E90</f>
        <v>100</v>
      </c>
      <c r="G89" s="21"/>
    </row>
    <row r="90" spans="1:7" ht="12.75">
      <c r="A90" s="3"/>
      <c r="B90" s="3"/>
      <c r="C90" s="3"/>
      <c r="E90" s="3">
        <v>100</v>
      </c>
      <c r="G90" s="21"/>
    </row>
    <row r="91" spans="1:7" ht="12.75">
      <c r="A91" s="3"/>
      <c r="B91" s="3"/>
      <c r="C91" s="3"/>
      <c r="E91" s="3"/>
      <c r="G91" s="21"/>
    </row>
    <row r="92" spans="1:7" ht="12.75">
      <c r="A92" s="5">
        <v>525</v>
      </c>
      <c r="B92" s="5" t="s">
        <v>345</v>
      </c>
      <c r="C92" s="5"/>
      <c r="D92" s="53"/>
      <c r="E92" s="5"/>
      <c r="F92" s="53">
        <f>+E93</f>
        <v>33515</v>
      </c>
      <c r="G92" s="21"/>
    </row>
    <row r="93" spans="1:7" ht="12.75">
      <c r="A93" s="3"/>
      <c r="B93" s="3" t="s">
        <v>7</v>
      </c>
      <c r="C93" s="3"/>
      <c r="E93" s="3">
        <v>33515</v>
      </c>
      <c r="G93" s="21"/>
    </row>
    <row r="94" spans="1:7" ht="12.75">
      <c r="A94" s="3"/>
      <c r="B94" s="3"/>
      <c r="C94" s="3"/>
      <c r="E94" s="3"/>
      <c r="G94" s="21"/>
    </row>
    <row r="95" spans="1:7" ht="12.75">
      <c r="A95" s="5">
        <v>526</v>
      </c>
      <c r="B95" s="5" t="s">
        <v>36</v>
      </c>
      <c r="C95" s="5"/>
      <c r="D95" s="53"/>
      <c r="E95" s="5"/>
      <c r="F95" s="53">
        <f>+E96</f>
        <v>950000</v>
      </c>
      <c r="G95" s="21"/>
    </row>
    <row r="96" spans="1:7" ht="12.75">
      <c r="A96" s="3"/>
      <c r="B96" s="3" t="s">
        <v>7</v>
      </c>
      <c r="C96" s="3"/>
      <c r="E96" s="3">
        <v>950000</v>
      </c>
      <c r="G96" s="21"/>
    </row>
    <row r="97" spans="1:7" ht="12.75">
      <c r="A97" s="3"/>
      <c r="B97" s="3"/>
      <c r="C97" s="3"/>
      <c r="E97" s="3"/>
      <c r="G97" s="21"/>
    </row>
    <row r="98" spans="1:7" ht="12.75">
      <c r="A98" s="5">
        <v>554</v>
      </c>
      <c r="B98" s="5" t="s">
        <v>608</v>
      </c>
      <c r="C98" s="5"/>
      <c r="D98" s="53"/>
      <c r="E98" s="5"/>
      <c r="F98" s="53">
        <v>50</v>
      </c>
      <c r="G98" s="21"/>
    </row>
    <row r="99" spans="1:7" ht="12.75">
      <c r="A99" s="3"/>
      <c r="B99" s="3"/>
      <c r="C99" s="3"/>
      <c r="E99" s="3">
        <v>50</v>
      </c>
      <c r="G99" s="21"/>
    </row>
    <row r="100" spans="1:7" ht="12.75">
      <c r="A100" s="3"/>
      <c r="B100" s="3"/>
      <c r="C100" s="3"/>
      <c r="E100" s="3"/>
      <c r="G100" s="21"/>
    </row>
    <row r="101" spans="1:7" ht="12.75">
      <c r="A101" s="5">
        <v>532</v>
      </c>
      <c r="B101" s="5" t="s">
        <v>264</v>
      </c>
      <c r="C101" s="5"/>
      <c r="D101" s="53"/>
      <c r="E101" s="5"/>
      <c r="F101" s="53">
        <f>+E102</f>
        <v>20000</v>
      </c>
      <c r="G101" s="21"/>
    </row>
    <row r="102" spans="1:7" ht="12.75">
      <c r="A102" s="3"/>
      <c r="B102" s="3" t="s">
        <v>346</v>
      </c>
      <c r="C102" s="3"/>
      <c r="E102" s="3">
        <v>20000</v>
      </c>
      <c r="G102" s="21"/>
    </row>
    <row r="103" spans="1:7" ht="12.75">
      <c r="A103" s="3"/>
      <c r="B103" s="3"/>
      <c r="C103" s="3"/>
      <c r="E103" s="3"/>
      <c r="G103" s="21"/>
    </row>
    <row r="104" spans="1:7" ht="12.75">
      <c r="A104" s="5">
        <v>561</v>
      </c>
      <c r="B104" s="5" t="s">
        <v>265</v>
      </c>
      <c r="C104" s="5"/>
      <c r="D104" s="53"/>
      <c r="E104" s="5"/>
      <c r="F104" s="53">
        <f>+E105</f>
        <v>0</v>
      </c>
      <c r="G104" s="21"/>
    </row>
    <row r="105" spans="1:7" ht="12.75">
      <c r="A105" s="3"/>
      <c r="B105" s="3" t="s">
        <v>347</v>
      </c>
      <c r="C105" s="3"/>
      <c r="E105" s="3">
        <v>0</v>
      </c>
      <c r="G105" s="21"/>
    </row>
    <row r="106" spans="1:7" ht="12.75">
      <c r="A106" s="3"/>
      <c r="B106" s="3"/>
      <c r="C106" s="3"/>
      <c r="E106" s="3"/>
      <c r="G106" s="21"/>
    </row>
    <row r="107" spans="1:7" ht="12.75">
      <c r="A107" s="5">
        <v>562</v>
      </c>
      <c r="B107" s="5" t="s">
        <v>195</v>
      </c>
      <c r="C107" s="5"/>
      <c r="D107" s="53"/>
      <c r="E107" s="5"/>
      <c r="F107" s="53">
        <f>+E108</f>
        <v>0</v>
      </c>
      <c r="G107" s="21"/>
    </row>
    <row r="108" spans="1:7" ht="12.75">
      <c r="A108" s="3"/>
      <c r="B108" s="3" t="s">
        <v>7</v>
      </c>
      <c r="C108" s="3"/>
      <c r="E108" s="3">
        <v>0</v>
      </c>
      <c r="G108" s="21"/>
    </row>
    <row r="109" spans="1:7" ht="12.75">
      <c r="A109" s="3"/>
      <c r="B109" s="3"/>
      <c r="C109" s="3"/>
      <c r="E109" s="3"/>
      <c r="F109" s="22" t="s">
        <v>7</v>
      </c>
      <c r="G109" s="21"/>
    </row>
    <row r="110" spans="1:7" ht="12.75">
      <c r="A110" s="5">
        <v>581</v>
      </c>
      <c r="B110" s="5" t="s">
        <v>329</v>
      </c>
      <c r="C110" s="5"/>
      <c r="D110" s="53"/>
      <c r="E110" s="174">
        <v>0</v>
      </c>
      <c r="F110" s="53">
        <v>0</v>
      </c>
      <c r="G110" s="21"/>
    </row>
    <row r="111" spans="1:7" ht="12.75">
      <c r="A111" s="3"/>
      <c r="B111" s="3" t="s">
        <v>7</v>
      </c>
      <c r="C111" s="3"/>
      <c r="E111" s="3" t="s">
        <v>7</v>
      </c>
      <c r="G111" s="21"/>
    </row>
    <row r="112" spans="1:7" ht="12.75">
      <c r="A112" s="3"/>
      <c r="B112" s="3" t="s">
        <v>583</v>
      </c>
      <c r="C112" s="3"/>
      <c r="E112" s="3" t="s">
        <v>7</v>
      </c>
      <c r="F112" s="22" t="s">
        <v>7</v>
      </c>
      <c r="G112" s="21"/>
    </row>
    <row r="113" spans="1:7" ht="22.5" customHeight="1">
      <c r="A113" s="5" t="s">
        <v>7</v>
      </c>
      <c r="B113" s="5"/>
      <c r="C113" s="26"/>
      <c r="D113" s="26"/>
      <c r="E113" s="26">
        <v>126828</v>
      </c>
      <c r="F113" s="26">
        <f>SUM(F53:F112)</f>
        <v>1169308</v>
      </c>
      <c r="G113" s="23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r:id="rId1"/>
  <headerFooter alignWithMargins="0">
    <oddFooter>&amp;CPage &amp;P&amp;RELECTRIC
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C1:G29"/>
  <sheetViews>
    <sheetView showGridLines="0" workbookViewId="0" topLeftCell="A13">
      <selection activeCell="E16" sqref="E16"/>
    </sheetView>
  </sheetViews>
  <sheetFormatPr defaultColWidth="9.625" defaultRowHeight="12.75"/>
  <cols>
    <col min="1" max="5" width="9.625" style="88" customWidth="1"/>
    <col min="6" max="6" width="30.375" style="88" customWidth="1"/>
    <col min="7" max="16384" width="9.625" style="88" customWidth="1"/>
  </cols>
  <sheetData>
    <row r="1" spans="4:6" ht="18.75">
      <c r="D1" s="89"/>
      <c r="E1" s="90" t="s">
        <v>267</v>
      </c>
      <c r="F1" s="91"/>
    </row>
    <row r="2" spans="4:6" ht="18.75">
      <c r="D2" s="89"/>
      <c r="E2" s="91"/>
      <c r="F2" s="91"/>
    </row>
    <row r="3" spans="3:6" ht="18.75">
      <c r="C3" s="92"/>
      <c r="D3" s="89"/>
      <c r="E3" s="93" t="s">
        <v>718</v>
      </c>
      <c r="F3" s="91"/>
    </row>
    <row r="4" spans="3:4" ht="12.75">
      <c r="C4" s="89"/>
      <c r="D4" s="89"/>
    </row>
    <row r="5" spans="4:7" ht="12.75">
      <c r="D5" s="92"/>
      <c r="G5" s="94"/>
    </row>
    <row r="6" spans="3:7" ht="15.75">
      <c r="C6" s="95" t="s">
        <v>59</v>
      </c>
      <c r="D6" s="96"/>
      <c r="E6" s="97"/>
      <c r="F6" s="98"/>
      <c r="G6" s="99" t="s">
        <v>110</v>
      </c>
    </row>
    <row r="7" spans="3:7" ht="15.75">
      <c r="C7" s="95" t="s">
        <v>107</v>
      </c>
      <c r="D7" s="96"/>
      <c r="E7" s="97"/>
      <c r="F7" s="98"/>
      <c r="G7" s="100" t="s">
        <v>484</v>
      </c>
    </row>
    <row r="8" spans="3:7" ht="15.75">
      <c r="C8" s="95" t="s">
        <v>38</v>
      </c>
      <c r="D8" s="96"/>
      <c r="E8" s="97"/>
      <c r="F8" s="98"/>
      <c r="G8" s="100" t="s">
        <v>485</v>
      </c>
    </row>
    <row r="9" spans="3:7" ht="15.75">
      <c r="C9" s="95" t="s">
        <v>593</v>
      </c>
      <c r="D9" s="96"/>
      <c r="E9" s="97"/>
      <c r="F9" s="98"/>
      <c r="G9" s="100" t="s">
        <v>486</v>
      </c>
    </row>
    <row r="10" spans="3:7" ht="15.75">
      <c r="C10" s="95" t="s">
        <v>60</v>
      </c>
      <c r="D10" s="96"/>
      <c r="E10" s="97"/>
      <c r="F10" s="98"/>
      <c r="G10" s="100" t="s">
        <v>487</v>
      </c>
    </row>
    <row r="11" spans="3:7" ht="15.75">
      <c r="C11" s="95" t="s">
        <v>108</v>
      </c>
      <c r="D11" s="96"/>
      <c r="E11" s="97"/>
      <c r="F11" s="98"/>
      <c r="G11" s="100" t="s">
        <v>488</v>
      </c>
    </row>
    <row r="12" spans="3:7" ht="15.75">
      <c r="C12" s="95" t="s">
        <v>471</v>
      </c>
      <c r="D12" s="96"/>
      <c r="E12" s="97"/>
      <c r="F12" s="98"/>
      <c r="G12" s="100" t="s">
        <v>489</v>
      </c>
    </row>
    <row r="13" spans="3:7" ht="15.75">
      <c r="C13" s="95" t="s">
        <v>380</v>
      </c>
      <c r="D13" s="96"/>
      <c r="E13" s="97"/>
      <c r="F13" s="98"/>
      <c r="G13" s="100" t="s">
        <v>490</v>
      </c>
    </row>
    <row r="14" spans="3:7" ht="15.75">
      <c r="C14" s="95" t="s">
        <v>675</v>
      </c>
      <c r="D14" s="96"/>
      <c r="E14" s="97"/>
      <c r="F14" s="98"/>
      <c r="G14" s="100" t="s">
        <v>491</v>
      </c>
    </row>
    <row r="15" spans="3:7" ht="15.75">
      <c r="C15" s="95" t="s">
        <v>64</v>
      </c>
      <c r="D15" s="96"/>
      <c r="E15" s="97"/>
      <c r="F15" s="98"/>
      <c r="G15" s="100" t="s">
        <v>492</v>
      </c>
    </row>
    <row r="16" spans="3:7" ht="15.75">
      <c r="C16" s="95" t="s">
        <v>96</v>
      </c>
      <c r="D16" s="95"/>
      <c r="E16" s="97"/>
      <c r="F16" s="98"/>
      <c r="G16" s="98" t="s">
        <v>493</v>
      </c>
    </row>
    <row r="17" spans="3:7" ht="15.75">
      <c r="C17" s="96" t="s">
        <v>109</v>
      </c>
      <c r="D17" s="95"/>
      <c r="E17" s="97"/>
      <c r="F17" s="98"/>
      <c r="G17" s="99" t="s">
        <v>494</v>
      </c>
    </row>
    <row r="18" spans="3:7" ht="15.75">
      <c r="C18" s="95" t="s">
        <v>472</v>
      </c>
      <c r="D18" s="95"/>
      <c r="E18" s="97"/>
      <c r="F18" s="98"/>
      <c r="G18" s="101" t="s">
        <v>495</v>
      </c>
    </row>
    <row r="19" spans="3:7" ht="15.75">
      <c r="C19" s="95" t="s">
        <v>680</v>
      </c>
      <c r="D19" s="95"/>
      <c r="E19" s="97"/>
      <c r="F19" s="98"/>
      <c r="G19" s="101" t="s">
        <v>496</v>
      </c>
    </row>
    <row r="20" spans="3:7" ht="15.75">
      <c r="C20" s="96" t="s">
        <v>481</v>
      </c>
      <c r="D20" s="95"/>
      <c r="E20" s="97"/>
      <c r="F20" s="98"/>
      <c r="G20" s="99" t="s">
        <v>497</v>
      </c>
    </row>
    <row r="21" spans="3:7" ht="15.75">
      <c r="C21" s="96" t="s">
        <v>460</v>
      </c>
      <c r="D21" s="95"/>
      <c r="E21" s="97"/>
      <c r="F21" s="98"/>
      <c r="G21" s="99" t="s">
        <v>498</v>
      </c>
    </row>
    <row r="22" spans="3:7" ht="15.75">
      <c r="C22" s="95" t="s">
        <v>62</v>
      </c>
      <c r="D22" s="95"/>
      <c r="E22" s="97"/>
      <c r="F22" s="98"/>
      <c r="G22" s="101" t="s">
        <v>499</v>
      </c>
    </row>
    <row r="23" spans="3:7" ht="15.75">
      <c r="C23" s="96" t="s">
        <v>63</v>
      </c>
      <c r="D23" s="95"/>
      <c r="E23" s="97"/>
      <c r="F23" s="98"/>
      <c r="G23" s="99" t="s">
        <v>500</v>
      </c>
    </row>
    <row r="24" spans="3:7" ht="15" customHeight="1">
      <c r="C24" s="95" t="s">
        <v>473</v>
      </c>
      <c r="D24" s="95"/>
      <c r="E24" s="97"/>
      <c r="F24" s="98"/>
      <c r="G24" s="98" t="s">
        <v>501</v>
      </c>
    </row>
    <row r="25" spans="3:7" ht="15.75">
      <c r="C25" s="96" t="s">
        <v>245</v>
      </c>
      <c r="D25" s="95"/>
      <c r="E25" s="97"/>
      <c r="F25" s="98"/>
      <c r="G25" s="100" t="s">
        <v>502</v>
      </c>
    </row>
    <row r="26" spans="3:7" ht="15.75">
      <c r="C26" s="95"/>
      <c r="D26" s="95"/>
      <c r="E26" s="97"/>
      <c r="F26" s="98"/>
      <c r="G26" s="98"/>
    </row>
    <row r="27" spans="3:7" ht="15.75">
      <c r="C27" s="102"/>
      <c r="D27" s="97"/>
      <c r="E27" s="97"/>
      <c r="F27" s="98"/>
      <c r="G27" s="100"/>
    </row>
    <row r="28" spans="3:7" ht="15.75">
      <c r="C28" s="97"/>
      <c r="D28" s="97"/>
      <c r="E28" s="97"/>
      <c r="F28" s="98"/>
      <c r="G28" s="98"/>
    </row>
    <row r="29" spans="6:7" ht="15.75">
      <c r="F29" s="98"/>
      <c r="G29" s="98"/>
    </row>
  </sheetData>
  <sheetProtection/>
  <printOptions/>
  <pageMargins left="0.75" right="0.75" top="1" bottom="1" header="0.5" footer="0.5"/>
  <pageSetup fitToHeight="1" fitToWidth="1" horizontalDpi="300" verticalDpi="300" orientation="portrait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2"/>
  <sheetViews>
    <sheetView showGridLines="0" zoomScaleSheetLayoutView="75" zoomScalePageLayoutView="0" workbookViewId="0" topLeftCell="A1">
      <selection activeCell="A39" sqref="A39"/>
    </sheetView>
  </sheetViews>
  <sheetFormatPr defaultColWidth="9.00390625" defaultRowHeight="12.75"/>
  <cols>
    <col min="1" max="1" width="4.625" style="22" customWidth="1"/>
    <col min="2" max="2" width="17.625" style="22" customWidth="1"/>
    <col min="3" max="3" width="9.375" style="22" customWidth="1"/>
    <col min="4" max="5" width="11.625" style="22" customWidth="1"/>
    <col min="6" max="6" width="10.00390625" style="22" customWidth="1"/>
    <col min="7" max="7" width="22.625" style="22" customWidth="1"/>
    <col min="8" max="16384" width="9.00390625" style="22" customWidth="1"/>
  </cols>
  <sheetData>
    <row r="1" spans="1:7" ht="12.75">
      <c r="A1" s="3"/>
      <c r="B1" s="3"/>
      <c r="C1" s="3"/>
      <c r="D1" s="3"/>
      <c r="E1" s="3"/>
      <c r="F1" s="3"/>
      <c r="G1" s="21"/>
    </row>
    <row r="2" spans="1:7" ht="12.75">
      <c r="A2" s="3"/>
      <c r="B2" s="210" t="s">
        <v>267</v>
      </c>
      <c r="C2" s="210"/>
      <c r="D2" s="210"/>
      <c r="E2" s="210"/>
      <c r="F2" s="3"/>
      <c r="G2" s="21"/>
    </row>
    <row r="3" spans="1:7" ht="12.75">
      <c r="A3" s="3"/>
      <c r="B3" s="5" t="s">
        <v>47</v>
      </c>
      <c r="C3" s="3"/>
      <c r="D3" s="3"/>
      <c r="E3" s="3"/>
      <c r="F3" s="3"/>
      <c r="G3" s="21"/>
    </row>
    <row r="4" spans="1:7" ht="12.75">
      <c r="A4" s="3"/>
      <c r="B4" s="3"/>
      <c r="C4" s="3"/>
      <c r="D4" s="3"/>
      <c r="E4" s="3"/>
      <c r="F4" s="3"/>
      <c r="G4" s="21"/>
    </row>
    <row r="5" spans="1:7" ht="12.75">
      <c r="A5" s="3"/>
      <c r="B5" s="3"/>
      <c r="C5" s="59" t="s">
        <v>236</v>
      </c>
      <c r="D5" s="59" t="s">
        <v>250</v>
      </c>
      <c r="E5" s="59" t="s">
        <v>250</v>
      </c>
      <c r="F5" s="59" t="s">
        <v>268</v>
      </c>
      <c r="G5" s="37"/>
    </row>
    <row r="6" spans="1:7" ht="12.75">
      <c r="A6" s="3"/>
      <c r="B6" s="3"/>
      <c r="C6" s="36" t="s">
        <v>2</v>
      </c>
      <c r="D6" s="36" t="s">
        <v>2</v>
      </c>
      <c r="E6" s="36" t="s">
        <v>2</v>
      </c>
      <c r="F6" s="36" t="s">
        <v>2</v>
      </c>
      <c r="G6" s="21"/>
    </row>
    <row r="7" spans="1:7" ht="12.75">
      <c r="A7" s="3"/>
      <c r="B7" s="3"/>
      <c r="C7" s="59" t="s">
        <v>237</v>
      </c>
      <c r="D7" s="59" t="s">
        <v>251</v>
      </c>
      <c r="E7" s="59" t="s">
        <v>251</v>
      </c>
      <c r="F7" s="59" t="s">
        <v>269</v>
      </c>
      <c r="G7" s="37"/>
    </row>
    <row r="8" spans="1:7" ht="12.75">
      <c r="A8" s="3"/>
      <c r="B8" s="3"/>
      <c r="C8" s="7" t="s">
        <v>3</v>
      </c>
      <c r="D8" s="36" t="s">
        <v>194</v>
      </c>
      <c r="E8" s="36" t="s">
        <v>191</v>
      </c>
      <c r="F8" s="36" t="s">
        <v>191</v>
      </c>
      <c r="G8" s="21"/>
    </row>
    <row r="9" spans="1:7" ht="12.75">
      <c r="A9" s="3"/>
      <c r="B9" s="3"/>
      <c r="C9" s="3"/>
      <c r="D9" s="3"/>
      <c r="E9" s="3"/>
      <c r="F9" s="3"/>
      <c r="G9" s="21"/>
    </row>
    <row r="10" spans="1:7" ht="12.75">
      <c r="A10" s="5" t="s">
        <v>4</v>
      </c>
      <c r="B10" s="3"/>
      <c r="C10" s="3"/>
      <c r="D10" s="3"/>
      <c r="E10" s="3"/>
      <c r="F10" s="3"/>
      <c r="G10" s="21"/>
    </row>
    <row r="11" spans="1:7" ht="12.75">
      <c r="A11" s="3" t="s">
        <v>25</v>
      </c>
      <c r="B11" s="3" t="s">
        <v>26</v>
      </c>
      <c r="C11" s="3">
        <v>450</v>
      </c>
      <c r="D11" s="22">
        <v>900</v>
      </c>
      <c r="E11" s="3">
        <v>2000</v>
      </c>
      <c r="F11" s="22">
        <v>2000</v>
      </c>
      <c r="G11" s="21"/>
    </row>
    <row r="12" spans="1:7" ht="12.75">
      <c r="A12" s="3" t="s">
        <v>44</v>
      </c>
      <c r="B12" s="3" t="s">
        <v>45</v>
      </c>
      <c r="C12" s="3"/>
      <c r="E12" s="3">
        <v>0</v>
      </c>
      <c r="F12" s="22">
        <v>0</v>
      </c>
      <c r="G12" s="21"/>
    </row>
    <row r="13" spans="1:7" ht="12.75">
      <c r="A13" s="8">
        <v>620</v>
      </c>
      <c r="B13" s="3" t="s">
        <v>46</v>
      </c>
      <c r="C13" s="3"/>
      <c r="E13" s="3">
        <v>0</v>
      </c>
      <c r="F13" s="22">
        <v>0</v>
      </c>
      <c r="G13" s="21"/>
    </row>
    <row r="14" spans="1:7" ht="12.75">
      <c r="A14" s="3"/>
      <c r="B14" s="3" t="s">
        <v>232</v>
      </c>
      <c r="C14" s="3">
        <v>58140</v>
      </c>
      <c r="D14" s="22">
        <v>55972</v>
      </c>
      <c r="E14" s="3">
        <v>55972</v>
      </c>
      <c r="F14" s="22">
        <v>53276</v>
      </c>
      <c r="G14" s="21"/>
    </row>
    <row r="15" spans="1:7" ht="12.75">
      <c r="A15" s="3"/>
      <c r="B15" s="3" t="s">
        <v>231</v>
      </c>
      <c r="C15" s="3">
        <v>85000</v>
      </c>
      <c r="D15" s="22">
        <v>90000</v>
      </c>
      <c r="E15" s="3">
        <v>90000</v>
      </c>
      <c r="F15" s="22">
        <v>90000</v>
      </c>
      <c r="G15" s="21"/>
    </row>
    <row r="16" spans="1:7" ht="12.75">
      <c r="A16" s="3"/>
      <c r="B16" s="3" t="s">
        <v>210</v>
      </c>
      <c r="C16" s="3">
        <v>80000</v>
      </c>
      <c r="D16" s="22">
        <v>80000</v>
      </c>
      <c r="E16" s="3">
        <v>80000</v>
      </c>
      <c r="F16" s="22">
        <v>85000</v>
      </c>
      <c r="G16" s="21"/>
    </row>
    <row r="17" spans="1:7" ht="12.75">
      <c r="A17" s="3"/>
      <c r="B17" s="3" t="s">
        <v>225</v>
      </c>
      <c r="C17" s="15">
        <v>21968</v>
      </c>
      <c r="D17" s="27">
        <v>18928</v>
      </c>
      <c r="E17" s="15">
        <v>18976</v>
      </c>
      <c r="F17" s="27">
        <f>+E54</f>
        <v>15734</v>
      </c>
      <c r="G17" s="21"/>
    </row>
    <row r="18" spans="1:7" ht="12.75">
      <c r="A18" s="5" t="s">
        <v>30</v>
      </c>
      <c r="B18" s="3"/>
      <c r="C18" s="5">
        <f>SUM(C11:C17)</f>
        <v>245558</v>
      </c>
      <c r="D18" s="5">
        <f>SUM(D11:D17)</f>
        <v>245800</v>
      </c>
      <c r="E18" s="5">
        <f>SUM(E11:E17)</f>
        <v>246948</v>
      </c>
      <c r="F18" s="5">
        <f>SUM(F11:F17)</f>
        <v>246010</v>
      </c>
      <c r="G18" s="21"/>
    </row>
    <row r="19" spans="1:7" ht="12.75">
      <c r="A19" s="3"/>
      <c r="B19" s="3" t="s">
        <v>11</v>
      </c>
      <c r="C19" s="15">
        <v>0</v>
      </c>
      <c r="D19" s="30">
        <v>0</v>
      </c>
      <c r="E19" s="15">
        <v>34791</v>
      </c>
      <c r="F19" s="27">
        <f>+F31-F18</f>
        <v>54617</v>
      </c>
      <c r="G19" s="21"/>
    </row>
    <row r="20" spans="1:7" ht="12.75">
      <c r="A20" s="3"/>
      <c r="B20" s="3"/>
      <c r="C20" s="3"/>
      <c r="D20" s="24"/>
      <c r="E20" s="3"/>
      <c r="G20" s="21"/>
    </row>
    <row r="21" spans="1:7" ht="18.75" customHeight="1">
      <c r="A21" s="5" t="s">
        <v>12</v>
      </c>
      <c r="B21" s="3"/>
      <c r="C21" s="25">
        <f>SUM(C18:C19)</f>
        <v>245558</v>
      </c>
      <c r="D21" s="25">
        <f>SUM(D18:D19)</f>
        <v>245800</v>
      </c>
      <c r="E21" s="25">
        <f>SUM(E18:E19)</f>
        <v>281739</v>
      </c>
      <c r="F21" s="25">
        <f>SUM(F18:F19)</f>
        <v>300627</v>
      </c>
      <c r="G21" s="21"/>
    </row>
    <row r="22" spans="1:7" ht="12.75">
      <c r="A22" s="3"/>
      <c r="B22" s="3"/>
      <c r="C22" s="3"/>
      <c r="D22" s="24"/>
      <c r="E22" s="3"/>
      <c r="G22" s="21"/>
    </row>
    <row r="23" spans="1:7" ht="12.75">
      <c r="A23" s="5" t="s">
        <v>13</v>
      </c>
      <c r="B23" s="3"/>
      <c r="C23" s="3" t="s">
        <v>7</v>
      </c>
      <c r="E23" s="3"/>
      <c r="G23" s="21"/>
    </row>
    <row r="24" spans="1:7" ht="12.75">
      <c r="A24" s="3" t="s">
        <v>42</v>
      </c>
      <c r="B24" s="3"/>
      <c r="C24" s="3">
        <v>19435</v>
      </c>
      <c r="D24" s="24">
        <f>+C34</f>
        <v>31152</v>
      </c>
      <c r="E24" s="3">
        <v>27539</v>
      </c>
      <c r="F24" s="24">
        <f>+D34</f>
        <v>43227</v>
      </c>
      <c r="G24" s="21"/>
    </row>
    <row r="25" spans="1:7" ht="12.75">
      <c r="A25" s="3" t="s">
        <v>206</v>
      </c>
      <c r="B25" s="3"/>
      <c r="C25" s="3">
        <v>15372</v>
      </c>
      <c r="D25" s="22">
        <v>17947</v>
      </c>
      <c r="E25" s="3">
        <v>15000</v>
      </c>
      <c r="F25" s="22">
        <v>18000</v>
      </c>
      <c r="G25" s="21"/>
    </row>
    <row r="26" spans="1:7" ht="12.75">
      <c r="A26" s="3" t="s">
        <v>197</v>
      </c>
      <c r="B26" s="3"/>
      <c r="C26" s="3">
        <v>857</v>
      </c>
      <c r="D26" s="22">
        <v>725</v>
      </c>
      <c r="E26" s="3">
        <v>900</v>
      </c>
      <c r="F26" s="22">
        <v>700</v>
      </c>
      <c r="G26" s="21"/>
    </row>
    <row r="27" spans="1:7" ht="12.75">
      <c r="A27" s="3" t="s">
        <v>54</v>
      </c>
      <c r="B27" s="3"/>
      <c r="C27" s="3"/>
      <c r="E27" s="3">
        <v>0</v>
      </c>
      <c r="F27" s="22">
        <v>0</v>
      </c>
      <c r="G27" s="21"/>
    </row>
    <row r="28" spans="1:7" ht="12.75">
      <c r="A28" s="3" t="s">
        <v>51</v>
      </c>
      <c r="B28" s="3"/>
      <c r="C28" s="3">
        <v>523</v>
      </c>
      <c r="D28" s="22">
        <v>700</v>
      </c>
      <c r="E28" s="3">
        <v>300</v>
      </c>
      <c r="F28" s="22">
        <v>700</v>
      </c>
      <c r="G28" s="21"/>
    </row>
    <row r="29" spans="1:7" ht="12.75">
      <c r="A29" s="3" t="s">
        <v>55</v>
      </c>
      <c r="B29" s="3"/>
      <c r="C29" s="3">
        <v>14454</v>
      </c>
      <c r="D29" s="22">
        <v>12503</v>
      </c>
      <c r="E29" s="86"/>
      <c r="F29" s="83">
        <v>0</v>
      </c>
      <c r="G29" s="21"/>
    </row>
    <row r="30" spans="1:9" ht="12.75">
      <c r="A30" s="3" t="s">
        <v>52</v>
      </c>
      <c r="B30" s="3"/>
      <c r="C30" s="15">
        <v>226069</v>
      </c>
      <c r="D30" s="27">
        <v>226000</v>
      </c>
      <c r="E30" s="15">
        <v>238000</v>
      </c>
      <c r="F30" s="27">
        <v>238000</v>
      </c>
      <c r="G30" s="21"/>
      <c r="I30" s="22" t="s">
        <v>7</v>
      </c>
    </row>
    <row r="31" spans="1:7" ht="12.75">
      <c r="A31" s="5" t="s">
        <v>16</v>
      </c>
      <c r="B31" s="3"/>
      <c r="C31" s="3">
        <f>SUM(C24:C30)</f>
        <v>276710</v>
      </c>
      <c r="D31" s="3">
        <f>SUM(D24:D30)</f>
        <v>289027</v>
      </c>
      <c r="E31" s="3">
        <f>SUM(E24:E30)</f>
        <v>281739</v>
      </c>
      <c r="F31" s="3">
        <f>SUM(F24:F30)</f>
        <v>300627</v>
      </c>
      <c r="G31" s="21"/>
    </row>
    <row r="32" spans="1:7" ht="12.75">
      <c r="A32" s="3"/>
      <c r="B32" s="3" t="s">
        <v>204</v>
      </c>
      <c r="C32" s="15">
        <f>SUM(C21)</f>
        <v>245558</v>
      </c>
      <c r="D32" s="15">
        <f>SUM(D21)</f>
        <v>245800</v>
      </c>
      <c r="E32" s="15">
        <f>SUM(E21)</f>
        <v>281739</v>
      </c>
      <c r="F32" s="15">
        <f>SUM(F21)</f>
        <v>300627</v>
      </c>
      <c r="G32" s="21"/>
    </row>
    <row r="33" spans="1:7" ht="12.75">
      <c r="A33" s="3"/>
      <c r="B33" s="3"/>
      <c r="C33" s="3"/>
      <c r="D33" s="24"/>
      <c r="E33" s="3"/>
      <c r="F33" s="24"/>
      <c r="G33" s="21"/>
    </row>
    <row r="34" spans="1:7" ht="19.5" customHeight="1">
      <c r="A34" s="5" t="s">
        <v>18</v>
      </c>
      <c r="B34" s="3"/>
      <c r="C34" s="26">
        <f>SUM(C31-C32)</f>
        <v>31152</v>
      </c>
      <c r="D34" s="26">
        <f>SUM(D31-D32)</f>
        <v>43227</v>
      </c>
      <c r="E34" s="26">
        <f>SUM(E31-E32)</f>
        <v>0</v>
      </c>
      <c r="F34" s="26">
        <f>SUM(F31-F32)</f>
        <v>0</v>
      </c>
      <c r="G34" s="21"/>
    </row>
    <row r="35" spans="1:7" ht="12.75">
      <c r="A35" s="21"/>
      <c r="B35" s="21"/>
      <c r="C35" s="21"/>
      <c r="D35" s="21"/>
      <c r="E35" s="21"/>
      <c r="F35" s="21"/>
      <c r="G35" s="21"/>
    </row>
    <row r="36" spans="1:7" ht="12.75">
      <c r="A36" s="21"/>
      <c r="B36" s="21" t="s">
        <v>7</v>
      </c>
      <c r="C36" s="21" t="s">
        <v>267</v>
      </c>
      <c r="D36" s="21"/>
      <c r="E36" s="21"/>
      <c r="F36" s="21"/>
      <c r="G36" s="21"/>
    </row>
    <row r="37" spans="1:7" ht="12.75">
      <c r="A37" s="21"/>
      <c r="B37" s="21"/>
      <c r="C37" s="21"/>
      <c r="D37" s="21"/>
      <c r="E37" s="21"/>
      <c r="F37" s="21"/>
      <c r="G37" s="21"/>
    </row>
    <row r="38" spans="1:7" ht="12.75">
      <c r="A38" s="21"/>
      <c r="B38" s="21" t="s">
        <v>47</v>
      </c>
      <c r="C38" s="21"/>
      <c r="D38" s="21"/>
      <c r="E38" s="21"/>
      <c r="F38" s="21"/>
      <c r="G38" s="21"/>
    </row>
    <row r="39" spans="1:7" ht="12.75">
      <c r="A39" s="21"/>
      <c r="B39" s="21"/>
      <c r="D39" s="21"/>
      <c r="E39" s="21"/>
      <c r="F39" s="21"/>
      <c r="G39" s="21"/>
    </row>
    <row r="40" spans="1:7" ht="12.75">
      <c r="A40" s="23" t="s">
        <v>25</v>
      </c>
      <c r="B40" s="21"/>
      <c r="C40" s="21"/>
      <c r="D40" s="21"/>
      <c r="E40" s="21"/>
      <c r="F40" s="21"/>
      <c r="G40" s="21"/>
    </row>
    <row r="41" spans="1:7" ht="12.75">
      <c r="A41" s="21"/>
      <c r="B41" s="23" t="s">
        <v>26</v>
      </c>
      <c r="C41" s="21"/>
      <c r="D41" s="21"/>
      <c r="E41" s="21"/>
      <c r="F41" s="21"/>
      <c r="G41" s="21" t="s">
        <v>7</v>
      </c>
    </row>
    <row r="42" spans="1:7" ht="12.75">
      <c r="A42" s="21"/>
      <c r="B42" s="21"/>
      <c r="C42" s="21"/>
      <c r="D42" s="21"/>
      <c r="E42" s="21"/>
      <c r="F42" s="21"/>
      <c r="G42" s="21"/>
    </row>
    <row r="43" spans="1:7" ht="12.75">
      <c r="A43" s="21"/>
      <c r="B43" s="21" t="s">
        <v>48</v>
      </c>
      <c r="C43" s="21"/>
      <c r="D43" s="21"/>
      <c r="E43" s="21">
        <v>2000</v>
      </c>
      <c r="F43" s="21"/>
      <c r="G43" s="21"/>
    </row>
    <row r="44" spans="1:7" ht="12.75">
      <c r="A44" s="23" t="s">
        <v>44</v>
      </c>
      <c r="B44" s="21"/>
      <c r="C44" s="21"/>
      <c r="D44" s="21"/>
      <c r="E44" s="21"/>
      <c r="F44" s="21"/>
      <c r="G44" s="21"/>
    </row>
    <row r="45" spans="1:7" ht="12.75">
      <c r="A45" s="21"/>
      <c r="B45" s="23" t="s">
        <v>45</v>
      </c>
      <c r="C45" s="21"/>
      <c r="D45" s="21"/>
      <c r="E45" s="21"/>
      <c r="F45" s="21"/>
      <c r="G45" s="21"/>
    </row>
    <row r="46" spans="1:7" ht="12.75">
      <c r="A46" s="21"/>
      <c r="B46" s="21"/>
      <c r="C46" s="21"/>
      <c r="D46" s="21"/>
      <c r="E46" s="21"/>
      <c r="F46" s="21"/>
      <c r="G46" s="21"/>
    </row>
    <row r="47" spans="1:7" ht="12.75">
      <c r="A47" s="21"/>
      <c r="B47" s="21" t="s">
        <v>213</v>
      </c>
      <c r="C47" s="21"/>
      <c r="D47" s="21"/>
      <c r="E47" s="21">
        <v>95000</v>
      </c>
      <c r="F47" s="21"/>
      <c r="G47" s="21"/>
    </row>
    <row r="48" spans="1:7" ht="12.75">
      <c r="A48" s="21"/>
      <c r="B48" s="21" t="s">
        <v>214</v>
      </c>
      <c r="C48" s="21"/>
      <c r="D48" s="21"/>
      <c r="E48" s="21">
        <v>80000</v>
      </c>
      <c r="F48" s="21"/>
      <c r="G48" s="21"/>
    </row>
    <row r="49" spans="1:7" ht="12.75">
      <c r="A49" s="21"/>
      <c r="D49" s="21"/>
      <c r="E49" s="21"/>
      <c r="F49" s="21"/>
      <c r="G49" s="21"/>
    </row>
    <row r="50" spans="1:7" ht="12.75">
      <c r="A50" s="23" t="s">
        <v>49</v>
      </c>
      <c r="B50" s="21"/>
      <c r="C50" s="21"/>
      <c r="D50" s="21"/>
      <c r="E50" s="21"/>
      <c r="F50" s="21"/>
      <c r="G50" s="21"/>
    </row>
    <row r="51" spans="1:7" ht="12.75">
      <c r="A51" s="21"/>
      <c r="B51" s="23" t="s">
        <v>46</v>
      </c>
      <c r="C51" s="21"/>
      <c r="D51" s="21"/>
      <c r="E51" s="21"/>
      <c r="F51" s="21"/>
      <c r="G51" s="21"/>
    </row>
    <row r="52" spans="1:7" ht="12.75">
      <c r="A52" s="21"/>
      <c r="B52" s="21"/>
      <c r="C52" s="21"/>
      <c r="D52" s="21"/>
      <c r="E52" s="21"/>
      <c r="F52" s="21"/>
      <c r="G52" s="21"/>
    </row>
    <row r="53" spans="1:7" ht="12.75">
      <c r="A53" s="21"/>
      <c r="B53" s="21" t="s">
        <v>215</v>
      </c>
      <c r="C53" s="21"/>
      <c r="D53" s="21"/>
      <c r="E53" s="21">
        <v>53185</v>
      </c>
      <c r="F53" s="21" t="s">
        <v>7</v>
      </c>
      <c r="G53" s="21"/>
    </row>
    <row r="54" spans="1:7" ht="12.75">
      <c r="A54" s="21"/>
      <c r="B54" s="22" t="s">
        <v>226</v>
      </c>
      <c r="C54" s="21"/>
      <c r="D54" s="21"/>
      <c r="E54" s="21">
        <v>15734</v>
      </c>
      <c r="F54" s="21"/>
      <c r="G54" s="21"/>
    </row>
    <row r="55" spans="1:7" ht="12.75">
      <c r="A55" s="21"/>
      <c r="B55" s="21"/>
      <c r="C55" s="21"/>
      <c r="D55" s="21"/>
      <c r="E55" s="21"/>
      <c r="F55" s="21"/>
      <c r="G55" s="21"/>
    </row>
    <row r="56" spans="1:7" ht="12.75">
      <c r="A56" s="21" t="s">
        <v>50</v>
      </c>
      <c r="B56" s="21"/>
      <c r="C56" s="23" t="s">
        <v>205</v>
      </c>
      <c r="D56" s="21"/>
      <c r="E56" s="21"/>
      <c r="F56" s="21"/>
      <c r="G56" s="21"/>
    </row>
    <row r="57" spans="1:5" ht="12.75">
      <c r="A57" s="21" t="s">
        <v>217</v>
      </c>
      <c r="B57" s="21"/>
      <c r="C57" s="21" t="s">
        <v>228</v>
      </c>
      <c r="D57" s="21" t="s">
        <v>229</v>
      </c>
      <c r="E57" s="22" t="s">
        <v>230</v>
      </c>
    </row>
    <row r="58" spans="1:6" ht="12.75">
      <c r="A58" s="22" t="s">
        <v>227</v>
      </c>
      <c r="B58" s="21"/>
      <c r="C58" s="103">
        <v>90000</v>
      </c>
      <c r="D58" s="103">
        <v>53276</v>
      </c>
      <c r="E58" s="116">
        <v>85000</v>
      </c>
      <c r="F58" s="116">
        <v>15734</v>
      </c>
    </row>
    <row r="59" spans="1:6" ht="12.75">
      <c r="A59" s="22" t="s">
        <v>238</v>
      </c>
      <c r="C59" s="116">
        <v>95000</v>
      </c>
      <c r="D59" s="116">
        <v>50212</v>
      </c>
      <c r="E59" s="116">
        <v>85000</v>
      </c>
      <c r="F59" s="116">
        <v>12166</v>
      </c>
    </row>
    <row r="60" spans="1:6" ht="12.75">
      <c r="A60" s="21" t="s">
        <v>260</v>
      </c>
      <c r="C60" s="116">
        <v>95000</v>
      </c>
      <c r="D60" s="116">
        <v>46686</v>
      </c>
      <c r="E60" s="116">
        <v>90000</v>
      </c>
      <c r="F60" s="116">
        <v>8468</v>
      </c>
    </row>
    <row r="61" spans="1:6" ht="12.75">
      <c r="A61" s="22" t="s">
        <v>261</v>
      </c>
      <c r="B61" s="21"/>
      <c r="C61" s="103">
        <v>100000</v>
      </c>
      <c r="D61" s="103">
        <v>42991</v>
      </c>
      <c r="E61" s="103">
        <v>95000</v>
      </c>
      <c r="F61" s="103">
        <v>4417</v>
      </c>
    </row>
    <row r="62" spans="3:7" ht="12.75">
      <c r="C62" s="116">
        <v>105000</v>
      </c>
      <c r="D62" s="116">
        <v>38923</v>
      </c>
      <c r="E62" s="116">
        <v>0</v>
      </c>
      <c r="F62" s="116">
        <v>0</v>
      </c>
      <c r="G62" s="21"/>
    </row>
  </sheetData>
  <sheetProtection/>
  <mergeCells count="1">
    <mergeCell ref="B2:E2"/>
  </mergeCells>
  <printOptions/>
  <pageMargins left="0.7" right="0.7" top="0.8" bottom="0.6" header="0.5" footer="0.5"/>
  <pageSetup firstPageNumber="34" useFirstPageNumber="1" horizontalDpi="300" verticalDpi="300" orientation="portrait" scale="75" r:id="rId1"/>
  <headerFooter alignWithMargins="0">
    <oddFooter>&amp;CPage &amp;P&amp;R&amp;A
</oddFooter>
  </headerFooter>
  <rowBreaks count="1" manualBreakCount="1">
    <brk id="34" max="6" man="1"/>
  </rowBreaks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81"/>
  <sheetViews>
    <sheetView showGridLines="0" zoomScalePageLayoutView="0" workbookViewId="0" topLeftCell="A1">
      <pane xSplit="2" ySplit="7" topLeftCell="C8" activePane="bottomRight" state="frozen"/>
      <selection pane="topLeft" activeCell="I104" sqref="I104"/>
      <selection pane="topRight" activeCell="I104" sqref="I104"/>
      <selection pane="bottomLeft" activeCell="I104" sqref="I104"/>
      <selection pane="bottomRight" activeCell="D27" sqref="D27"/>
    </sheetView>
  </sheetViews>
  <sheetFormatPr defaultColWidth="9.00390625" defaultRowHeight="12.75"/>
  <cols>
    <col min="2" max="2" width="20.625" style="0" customWidth="1"/>
    <col min="3" max="3" width="9.125" style="0" bestFit="1" customWidth="1"/>
    <col min="4" max="4" width="9.50390625" style="0" bestFit="1" customWidth="1"/>
    <col min="5" max="5" width="10.125" style="0" bestFit="1" customWidth="1"/>
    <col min="6" max="6" width="9.625" style="0" customWidth="1"/>
  </cols>
  <sheetData>
    <row r="1" spans="1:6" s="165" customFormat="1" ht="12.75">
      <c r="A1" s="210" t="s">
        <v>267</v>
      </c>
      <c r="B1" s="211"/>
      <c r="C1" s="211"/>
      <c r="D1" s="211"/>
      <c r="E1" s="211"/>
      <c r="F1" s="211"/>
    </row>
    <row r="2" spans="1:6" s="165" customFormat="1" ht="12.75">
      <c r="A2" s="210" t="s">
        <v>460</v>
      </c>
      <c r="B2" s="211"/>
      <c r="C2" s="211"/>
      <c r="D2" s="211"/>
      <c r="E2" s="211"/>
      <c r="F2" s="211"/>
    </row>
    <row r="3" spans="1:6" s="165" customFormat="1" ht="12.75">
      <c r="A3" s="3"/>
      <c r="B3" s="24"/>
      <c r="F3" s="86"/>
    </row>
    <row r="4" spans="1:6" s="165" customFormat="1" ht="12.75">
      <c r="A4" s="3"/>
      <c r="B4" s="3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</row>
    <row r="5" spans="1:6" s="165" customFormat="1" ht="12.75">
      <c r="A5" s="3"/>
      <c r="B5" s="3"/>
      <c r="C5" s="115" t="s">
        <v>2</v>
      </c>
      <c r="D5" s="115" t="s">
        <v>2</v>
      </c>
      <c r="E5" s="115" t="s">
        <v>2</v>
      </c>
      <c r="F5" s="115" t="s">
        <v>2</v>
      </c>
    </row>
    <row r="6" spans="1:6" s="165" customFormat="1" ht="12.75">
      <c r="A6" s="3"/>
      <c r="B6" s="3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</row>
    <row r="7" spans="1:6" s="165" customFormat="1" ht="12.75">
      <c r="A7" s="3"/>
      <c r="B7" s="3"/>
      <c r="C7" s="86" t="s">
        <v>3</v>
      </c>
      <c r="D7" s="115" t="s">
        <v>194</v>
      </c>
      <c r="E7" s="115" t="s">
        <v>191</v>
      </c>
      <c r="F7" s="115" t="s">
        <v>191</v>
      </c>
    </row>
    <row r="8" spans="1:6" ht="12.75">
      <c r="A8" s="5" t="s">
        <v>4</v>
      </c>
      <c r="B8" s="3"/>
      <c r="C8" s="86"/>
      <c r="D8" s="77"/>
      <c r="E8" s="86"/>
      <c r="F8" s="86"/>
    </row>
    <row r="9" spans="1:7" ht="12.75">
      <c r="A9" s="3">
        <v>511</v>
      </c>
      <c r="B9" s="3" t="s">
        <v>20</v>
      </c>
      <c r="C9" s="86">
        <v>48521.02</v>
      </c>
      <c r="D9" s="160">
        <v>51148.48</v>
      </c>
      <c r="E9" s="160">
        <v>53917</v>
      </c>
      <c r="F9" s="160">
        <v>55899</v>
      </c>
      <c r="G9" s="202" t="s">
        <v>7</v>
      </c>
    </row>
    <row r="10" spans="1:7" ht="12.75">
      <c r="A10" s="3">
        <v>513</v>
      </c>
      <c r="B10" s="3" t="s">
        <v>22</v>
      </c>
      <c r="C10" s="86">
        <v>13486.74</v>
      </c>
      <c r="D10" s="160">
        <v>15981.82</v>
      </c>
      <c r="E10" s="160">
        <v>16902</v>
      </c>
      <c r="F10" s="160">
        <v>13736.48</v>
      </c>
      <c r="G10" s="202" t="s">
        <v>7</v>
      </c>
    </row>
    <row r="11" spans="1:7" ht="12.75">
      <c r="A11" s="3">
        <v>514</v>
      </c>
      <c r="B11" s="3" t="s">
        <v>23</v>
      </c>
      <c r="C11" s="86">
        <v>3712.56</v>
      </c>
      <c r="D11" s="160">
        <v>3941.49</v>
      </c>
      <c r="E11" s="160">
        <v>4125</v>
      </c>
      <c r="F11" s="160">
        <v>4276.27</v>
      </c>
      <c r="G11" s="202" t="s">
        <v>7</v>
      </c>
    </row>
    <row r="12" spans="1:7" ht="12.75">
      <c r="A12" s="3">
        <v>515</v>
      </c>
      <c r="B12" s="3" t="s">
        <v>339</v>
      </c>
      <c r="C12" s="86">
        <v>2354.64</v>
      </c>
      <c r="D12" s="160">
        <v>2483.04</v>
      </c>
      <c r="E12" s="160">
        <v>2696</v>
      </c>
      <c r="F12" s="160">
        <v>2794.95</v>
      </c>
      <c r="G12" s="202" t="s">
        <v>7</v>
      </c>
    </row>
    <row r="13" spans="1:7" ht="12.75">
      <c r="A13" s="3">
        <v>521</v>
      </c>
      <c r="B13" s="3" t="s">
        <v>263</v>
      </c>
      <c r="C13" s="86">
        <v>0</v>
      </c>
      <c r="D13" s="160">
        <v>0</v>
      </c>
      <c r="E13" s="160">
        <v>100</v>
      </c>
      <c r="F13" s="160">
        <v>100</v>
      </c>
      <c r="G13" s="202" t="s">
        <v>7</v>
      </c>
    </row>
    <row r="14" spans="1:7" ht="12.75">
      <c r="A14" s="3">
        <v>522</v>
      </c>
      <c r="B14" s="3" t="s">
        <v>665</v>
      </c>
      <c r="C14" s="86">
        <v>211.75</v>
      </c>
      <c r="D14" s="160">
        <v>295.37</v>
      </c>
      <c r="E14" s="160">
        <v>0</v>
      </c>
      <c r="F14" s="160">
        <v>299</v>
      </c>
      <c r="G14" s="202"/>
    </row>
    <row r="15" spans="1:7" ht="12.75">
      <c r="A15" s="3">
        <v>523</v>
      </c>
      <c r="B15" s="3" t="s">
        <v>43</v>
      </c>
      <c r="C15" s="86">
        <v>0</v>
      </c>
      <c r="D15" s="160">
        <v>0</v>
      </c>
      <c r="E15" s="160">
        <v>100</v>
      </c>
      <c r="F15" s="160">
        <v>100</v>
      </c>
      <c r="G15" s="202" t="s">
        <v>7</v>
      </c>
    </row>
    <row r="16" spans="1:7" ht="12.75">
      <c r="A16" s="3">
        <v>524</v>
      </c>
      <c r="B16" s="3" t="s">
        <v>266</v>
      </c>
      <c r="C16" s="86">
        <v>0</v>
      </c>
      <c r="D16" s="160">
        <v>48</v>
      </c>
      <c r="E16" s="160">
        <v>0</v>
      </c>
      <c r="F16" s="160">
        <v>0</v>
      </c>
      <c r="G16" s="202"/>
    </row>
    <row r="17" spans="1:7" ht="12.75">
      <c r="A17" s="3">
        <v>525</v>
      </c>
      <c r="B17" s="3" t="s">
        <v>27</v>
      </c>
      <c r="C17" s="86">
        <v>4269.22</v>
      </c>
      <c r="D17" s="160">
        <v>3835.04</v>
      </c>
      <c r="E17" s="160">
        <v>4696</v>
      </c>
      <c r="F17" s="160">
        <v>4218.5</v>
      </c>
      <c r="G17" s="202" t="s">
        <v>7</v>
      </c>
    </row>
    <row r="18" spans="1:7" ht="12.75">
      <c r="A18" s="3">
        <v>526</v>
      </c>
      <c r="B18" s="3" t="s">
        <v>36</v>
      </c>
      <c r="C18" s="86">
        <v>2187.37</v>
      </c>
      <c r="D18" s="160">
        <v>1742.76</v>
      </c>
      <c r="E18" s="160">
        <v>2406</v>
      </c>
      <c r="F18" s="160">
        <v>2000</v>
      </c>
      <c r="G18" s="202" t="s">
        <v>7</v>
      </c>
    </row>
    <row r="19" spans="1:7" ht="12.75">
      <c r="A19" s="86">
        <v>532</v>
      </c>
      <c r="B19" s="3" t="s">
        <v>264</v>
      </c>
      <c r="C19" s="86">
        <v>28467.29</v>
      </c>
      <c r="D19" s="160">
        <v>44536.91</v>
      </c>
      <c r="E19" s="160">
        <v>35000</v>
      </c>
      <c r="F19" s="160">
        <v>35000</v>
      </c>
      <c r="G19" s="202" t="s">
        <v>7</v>
      </c>
    </row>
    <row r="20" spans="1:7" ht="12.75">
      <c r="A20" s="86">
        <v>553</v>
      </c>
      <c r="B20" s="3" t="s">
        <v>277</v>
      </c>
      <c r="C20" s="86">
        <v>0</v>
      </c>
      <c r="D20" s="160">
        <v>0</v>
      </c>
      <c r="E20" s="160" t="s">
        <v>7</v>
      </c>
      <c r="F20" s="160">
        <v>0</v>
      </c>
      <c r="G20" s="202"/>
    </row>
    <row r="21" spans="1:7" ht="12.75">
      <c r="A21" s="86">
        <v>554</v>
      </c>
      <c r="B21" s="3" t="s">
        <v>376</v>
      </c>
      <c r="C21" s="86">
        <v>0</v>
      </c>
      <c r="D21" s="160">
        <v>0</v>
      </c>
      <c r="E21" s="160">
        <v>0</v>
      </c>
      <c r="F21" s="160">
        <v>0</v>
      </c>
      <c r="G21" s="202"/>
    </row>
    <row r="22" spans="1:7" ht="12.75">
      <c r="A22" s="3">
        <v>561</v>
      </c>
      <c r="B22" s="3" t="s">
        <v>265</v>
      </c>
      <c r="C22" s="86">
        <v>0</v>
      </c>
      <c r="D22" s="160">
        <v>0</v>
      </c>
      <c r="E22" s="160">
        <v>0</v>
      </c>
      <c r="F22" s="160">
        <v>0</v>
      </c>
      <c r="G22" s="202"/>
    </row>
    <row r="23" spans="1:7" ht="12.75">
      <c r="A23" s="3">
        <v>562</v>
      </c>
      <c r="B23" s="3" t="s">
        <v>195</v>
      </c>
      <c r="C23" s="118">
        <v>0</v>
      </c>
      <c r="D23" s="166">
        <v>0</v>
      </c>
      <c r="E23" s="166">
        <v>0</v>
      </c>
      <c r="F23" s="166">
        <v>0</v>
      </c>
      <c r="G23" s="202"/>
    </row>
    <row r="24" spans="1:7" ht="12.75">
      <c r="A24" s="3"/>
      <c r="B24" s="3"/>
      <c r="C24" s="118"/>
      <c r="D24" s="130"/>
      <c r="E24" s="118"/>
      <c r="F24" s="130"/>
      <c r="G24" s="202"/>
    </row>
    <row r="25" spans="1:8" ht="12.75">
      <c r="A25" s="5" t="s">
        <v>182</v>
      </c>
      <c r="B25" s="5"/>
      <c r="C25" s="134">
        <f>SUM(C9:C23)</f>
        <v>103210.59</v>
      </c>
      <c r="D25" s="134">
        <f>SUM(D9:D23)</f>
        <v>124012.90999999999</v>
      </c>
      <c r="E25" s="134">
        <f>SUM(E9:E23)</f>
        <v>119942</v>
      </c>
      <c r="F25" s="134">
        <f>SUM(F9:F23)</f>
        <v>118424.2</v>
      </c>
      <c r="G25" s="202"/>
      <c r="H25" s="134">
        <f>SUM(D25-E25)</f>
        <v>4070.909999999989</v>
      </c>
    </row>
    <row r="26" spans="1:7" ht="12.75">
      <c r="A26" s="3"/>
      <c r="B26" s="3"/>
      <c r="C26" s="86"/>
      <c r="D26" s="115"/>
      <c r="E26" s="86"/>
      <c r="F26" s="115"/>
      <c r="G26" s="202"/>
    </row>
    <row r="27" spans="1:7" ht="12.75">
      <c r="A27" s="5" t="s">
        <v>13</v>
      </c>
      <c r="B27" s="33"/>
      <c r="C27" s="86"/>
      <c r="D27" s="115"/>
      <c r="E27" s="86"/>
      <c r="F27" s="115"/>
      <c r="G27" s="202"/>
    </row>
    <row r="28" spans="1:7" ht="12.75">
      <c r="A28" s="3">
        <v>426</v>
      </c>
      <c r="B28" s="3" t="s">
        <v>302</v>
      </c>
      <c r="C28" s="86">
        <v>0</v>
      </c>
      <c r="D28" s="160">
        <v>200.23</v>
      </c>
      <c r="E28" s="86">
        <v>250</v>
      </c>
      <c r="F28" s="160">
        <v>200</v>
      </c>
      <c r="G28" s="202"/>
    </row>
    <row r="29" spans="1:7" ht="12.75">
      <c r="A29" s="3">
        <v>453</v>
      </c>
      <c r="B29" s="3" t="s">
        <v>377</v>
      </c>
      <c r="C29" s="86">
        <v>25</v>
      </c>
      <c r="D29" s="160">
        <v>50</v>
      </c>
      <c r="E29" s="86">
        <v>250</v>
      </c>
      <c r="F29" s="160">
        <v>50</v>
      </c>
      <c r="G29" s="202"/>
    </row>
    <row r="30" spans="1:7" ht="12.75">
      <c r="A30" s="3">
        <v>458</v>
      </c>
      <c r="B30" s="3" t="s">
        <v>350</v>
      </c>
      <c r="C30" s="86">
        <v>30</v>
      </c>
      <c r="D30" s="160">
        <v>17.93</v>
      </c>
      <c r="E30" s="86">
        <v>0</v>
      </c>
      <c r="F30" s="160">
        <v>0</v>
      </c>
      <c r="G30" s="202"/>
    </row>
    <row r="31" spans="1:7" ht="12.75">
      <c r="A31" s="3">
        <v>460</v>
      </c>
      <c r="B31" s="3" t="s">
        <v>304</v>
      </c>
      <c r="C31" s="118">
        <v>0</v>
      </c>
      <c r="D31" s="166">
        <v>0</v>
      </c>
      <c r="E31" s="118">
        <v>0</v>
      </c>
      <c r="F31" s="166">
        <v>0</v>
      </c>
      <c r="G31" s="202"/>
    </row>
    <row r="32" spans="1:7" ht="12.75">
      <c r="A32" s="3">
        <v>481</v>
      </c>
      <c r="B32" s="3" t="s">
        <v>598</v>
      </c>
      <c r="C32" s="86"/>
      <c r="D32" s="115">
        <v>0</v>
      </c>
      <c r="E32" s="86"/>
      <c r="F32" s="115" t="s">
        <v>7</v>
      </c>
      <c r="G32" s="202"/>
    </row>
    <row r="33" spans="1:7" ht="12.75">
      <c r="A33" s="3"/>
      <c r="B33" s="3"/>
      <c r="C33" s="86"/>
      <c r="D33" s="115"/>
      <c r="E33" s="86"/>
      <c r="F33" s="115"/>
      <c r="G33" s="202"/>
    </row>
    <row r="34" spans="1:7" ht="12.75">
      <c r="A34" s="5" t="s">
        <v>16</v>
      </c>
      <c r="B34" s="3"/>
      <c r="C34" s="134">
        <f>SUM(C28:C32)</f>
        <v>55</v>
      </c>
      <c r="D34" s="134">
        <f>SUM(D28:D32)</f>
        <v>268.15999999999997</v>
      </c>
      <c r="E34" s="134">
        <f>SUM(E28:E32)</f>
        <v>500</v>
      </c>
      <c r="F34" s="134">
        <f>SUM(F28:F32)</f>
        <v>250</v>
      </c>
      <c r="G34" s="202"/>
    </row>
    <row r="35" spans="1:7" ht="12.75">
      <c r="A35" s="22"/>
      <c r="B35" s="21"/>
      <c r="C35" s="83"/>
      <c r="D35" s="83"/>
      <c r="E35" s="83"/>
      <c r="F35" s="83"/>
      <c r="G35" s="202"/>
    </row>
    <row r="36" spans="1:7" ht="12.75">
      <c r="A36" s="21" t="s">
        <v>0</v>
      </c>
      <c r="B36" s="21"/>
      <c r="C36" s="21" t="s">
        <v>459</v>
      </c>
      <c r="D36" s="115"/>
      <c r="E36" s="115"/>
      <c r="F36" s="115"/>
      <c r="G36" s="202"/>
    </row>
    <row r="37" spans="1:7" ht="12.75">
      <c r="A37" s="21"/>
      <c r="B37" s="21"/>
      <c r="C37" s="21" t="s">
        <v>661</v>
      </c>
      <c r="D37" s="115"/>
      <c r="E37" s="115"/>
      <c r="F37" s="115"/>
      <c r="G37" s="202"/>
    </row>
    <row r="38" spans="1:7" ht="12.75">
      <c r="A38" s="21" t="s">
        <v>7</v>
      </c>
      <c r="B38" s="36"/>
      <c r="C38" s="21" t="s">
        <v>461</v>
      </c>
      <c r="D38" s="115"/>
      <c r="E38" s="115"/>
      <c r="F38" s="115"/>
      <c r="G38" s="202"/>
    </row>
    <row r="39" spans="1:7" ht="12.75">
      <c r="A39" s="21" t="s">
        <v>0</v>
      </c>
      <c r="B39" s="21"/>
      <c r="C39" s="115"/>
      <c r="D39" s="115"/>
      <c r="E39" s="115"/>
      <c r="F39" s="115"/>
      <c r="G39" s="202"/>
    </row>
    <row r="40" spans="1:7" ht="12.75">
      <c r="A40" s="23" t="s">
        <v>282</v>
      </c>
      <c r="B40" s="47"/>
      <c r="C40" s="63"/>
      <c r="D40" s="63"/>
      <c r="E40" s="61"/>
      <c r="F40" s="63"/>
      <c r="G40" s="202"/>
    </row>
    <row r="41" spans="1:7" ht="12.75">
      <c r="A41" s="23"/>
      <c r="B41" s="47"/>
      <c r="C41" s="63"/>
      <c r="D41" s="63"/>
      <c r="E41" s="61"/>
      <c r="F41" s="63"/>
      <c r="G41" s="202"/>
    </row>
    <row r="42" spans="1:7" ht="12.75">
      <c r="A42" s="104">
        <v>511</v>
      </c>
      <c r="B42" s="48" t="s">
        <v>20</v>
      </c>
      <c r="C42" s="65"/>
      <c r="D42" s="83"/>
      <c r="E42" s="120">
        <f>SUM(D43:D47)</f>
        <v>55898.79</v>
      </c>
      <c r="F42" s="63"/>
      <c r="G42" s="202"/>
    </row>
    <row r="43" spans="1:7" ht="12.75">
      <c r="A43" s="47"/>
      <c r="B43" s="47" t="s">
        <v>378</v>
      </c>
      <c r="C43" s="63"/>
      <c r="D43" s="64">
        <v>49662.91</v>
      </c>
      <c r="E43" s="83"/>
      <c r="F43" s="63"/>
      <c r="G43" s="202"/>
    </row>
    <row r="44" spans="1:7" ht="12.75">
      <c r="A44" s="47"/>
      <c r="B44" s="47" t="s">
        <v>321</v>
      </c>
      <c r="C44" s="63"/>
      <c r="D44" s="63"/>
      <c r="E44" s="83"/>
      <c r="F44" s="63"/>
      <c r="G44" s="202"/>
    </row>
    <row r="45" spans="1:7" ht="12.75">
      <c r="A45" s="47"/>
      <c r="B45" s="47" t="s">
        <v>708</v>
      </c>
      <c r="C45" s="63"/>
      <c r="D45" s="63">
        <v>1489.88</v>
      </c>
      <c r="E45" s="83"/>
      <c r="F45" s="63"/>
      <c r="G45" s="202"/>
    </row>
    <row r="46" spans="1:7" ht="12.75">
      <c r="A46" s="47"/>
      <c r="B46" s="22" t="s">
        <v>334</v>
      </c>
      <c r="C46" s="63"/>
      <c r="D46" s="63">
        <v>1200</v>
      </c>
      <c r="E46" s="83"/>
      <c r="F46" s="63"/>
      <c r="G46" s="202"/>
    </row>
    <row r="47" spans="1:7" ht="12.75">
      <c r="A47" s="47"/>
      <c r="B47" s="22" t="s">
        <v>676</v>
      </c>
      <c r="C47" s="63"/>
      <c r="D47" s="63">
        <v>3546</v>
      </c>
      <c r="E47" s="83"/>
      <c r="F47" s="63"/>
      <c r="G47" s="202"/>
    </row>
    <row r="48" spans="1:7" ht="12.75">
      <c r="A48" s="47"/>
      <c r="B48" s="47"/>
      <c r="C48" s="61"/>
      <c r="D48" s="83"/>
      <c r="E48" s="83"/>
      <c r="F48" s="63"/>
      <c r="G48" s="202"/>
    </row>
    <row r="49" spans="1:7" ht="12.75">
      <c r="A49" s="104">
        <v>513</v>
      </c>
      <c r="B49" s="48" t="s">
        <v>22</v>
      </c>
      <c r="C49" s="63"/>
      <c r="D49" s="83"/>
      <c r="E49" s="120">
        <f>SUM(D50:D50)</f>
        <v>13736</v>
      </c>
      <c r="F49" s="63"/>
      <c r="G49" s="202"/>
    </row>
    <row r="50" spans="1:7" ht="12.75">
      <c r="A50" s="47"/>
      <c r="B50" s="47" t="s">
        <v>7</v>
      </c>
      <c r="C50" s="63"/>
      <c r="D50" s="64">
        <v>13736</v>
      </c>
      <c r="E50" s="83"/>
      <c r="F50" s="63"/>
      <c r="G50" s="202"/>
    </row>
    <row r="51" spans="1:7" ht="12.75">
      <c r="A51" s="47"/>
      <c r="B51" s="47"/>
      <c r="C51" s="63"/>
      <c r="D51" s="64"/>
      <c r="E51" s="83"/>
      <c r="F51" s="63"/>
      <c r="G51" s="202"/>
    </row>
    <row r="52" spans="1:7" ht="12.75">
      <c r="A52" s="104">
        <v>514</v>
      </c>
      <c r="B52" s="48" t="s">
        <v>23</v>
      </c>
      <c r="C52" s="63"/>
      <c r="D52" s="83"/>
      <c r="E52" s="120">
        <f>+D53</f>
        <v>4276</v>
      </c>
      <c r="F52" s="63"/>
      <c r="G52" s="202"/>
    </row>
    <row r="53" spans="1:7" ht="12.75">
      <c r="A53" s="47" t="s">
        <v>7</v>
      </c>
      <c r="B53" s="47" t="s">
        <v>7</v>
      </c>
      <c r="C53" s="63"/>
      <c r="D53" s="64">
        <v>4276</v>
      </c>
      <c r="E53" s="83"/>
      <c r="F53" s="63"/>
      <c r="G53" s="202"/>
    </row>
    <row r="54" spans="1:7" ht="12.75">
      <c r="A54" s="48"/>
      <c r="B54" s="47"/>
      <c r="C54" s="63"/>
      <c r="D54" s="61"/>
      <c r="E54" s="83"/>
      <c r="F54" s="63"/>
      <c r="G54" s="202"/>
    </row>
    <row r="55" spans="1:7" ht="12.75">
      <c r="A55" s="104">
        <v>515</v>
      </c>
      <c r="B55" s="48" t="s">
        <v>339</v>
      </c>
      <c r="C55" s="63"/>
      <c r="D55" s="83"/>
      <c r="E55" s="120">
        <f>SUM(D56:D56)</f>
        <v>2795</v>
      </c>
      <c r="F55" s="63"/>
      <c r="G55" s="202"/>
    </row>
    <row r="56" spans="1:7" ht="12.75">
      <c r="A56" s="47"/>
      <c r="B56" s="47" t="s">
        <v>7</v>
      </c>
      <c r="C56" s="63"/>
      <c r="D56" s="64">
        <v>2795</v>
      </c>
      <c r="E56" s="83"/>
      <c r="F56" s="63"/>
      <c r="G56" s="202"/>
    </row>
    <row r="57" spans="1:7" ht="12.75">
      <c r="A57" s="47"/>
      <c r="B57" s="47"/>
      <c r="C57" s="63"/>
      <c r="D57" s="61"/>
      <c r="E57" s="83"/>
      <c r="F57" s="63"/>
      <c r="G57" s="202"/>
    </row>
    <row r="58" spans="1:7" ht="12.75">
      <c r="A58" s="104">
        <v>521</v>
      </c>
      <c r="B58" s="48" t="s">
        <v>263</v>
      </c>
      <c r="C58" s="63"/>
      <c r="D58" s="83"/>
      <c r="E58" s="120">
        <f>+D59</f>
        <v>100</v>
      </c>
      <c r="F58" s="63"/>
      <c r="G58" s="202"/>
    </row>
    <row r="59" spans="1:7" ht="12.75">
      <c r="A59" s="48"/>
      <c r="B59" s="47" t="s">
        <v>370</v>
      </c>
      <c r="C59" s="63"/>
      <c r="D59" s="64">
        <v>100</v>
      </c>
      <c r="E59" s="83"/>
      <c r="F59" s="63"/>
      <c r="G59" s="202"/>
    </row>
    <row r="60" spans="1:7" ht="12.75">
      <c r="A60" s="48"/>
      <c r="B60" s="47"/>
      <c r="C60" s="63"/>
      <c r="D60" s="64"/>
      <c r="E60" s="83"/>
      <c r="F60" s="63"/>
      <c r="G60" s="202"/>
    </row>
    <row r="61" spans="1:7" ht="12.75">
      <c r="A61" s="104">
        <v>522</v>
      </c>
      <c r="B61" s="48" t="s">
        <v>219</v>
      </c>
      <c r="C61" s="63"/>
      <c r="D61" s="64"/>
      <c r="E61" s="83">
        <f>+D62</f>
        <v>299</v>
      </c>
      <c r="F61" s="63"/>
      <c r="G61" s="202"/>
    </row>
    <row r="62" spans="1:7" ht="12.75">
      <c r="A62" s="104"/>
      <c r="B62" s="48"/>
      <c r="C62" s="63"/>
      <c r="D62" s="64">
        <v>299</v>
      </c>
      <c r="E62" s="83"/>
      <c r="F62" s="63"/>
      <c r="G62" s="202"/>
    </row>
    <row r="63" spans="1:7" ht="12.75">
      <c r="A63" s="48"/>
      <c r="B63" s="49"/>
      <c r="C63" s="61"/>
      <c r="D63" s="64"/>
      <c r="E63" s="83"/>
      <c r="F63" s="63"/>
      <c r="G63" s="202"/>
    </row>
    <row r="64" spans="1:7" ht="12.75">
      <c r="A64" s="47"/>
      <c r="B64" s="48" t="s">
        <v>43</v>
      </c>
      <c r="C64" s="65"/>
      <c r="D64" s="83"/>
      <c r="E64" s="120">
        <f>SUM(D65:D65)</f>
        <v>100</v>
      </c>
      <c r="F64" s="63"/>
      <c r="G64" s="202"/>
    </row>
    <row r="65" spans="1:7" ht="12.75">
      <c r="A65" s="104">
        <v>523</v>
      </c>
      <c r="B65" s="47" t="s">
        <v>317</v>
      </c>
      <c r="C65" s="63"/>
      <c r="D65" s="64">
        <v>100</v>
      </c>
      <c r="E65" s="83"/>
      <c r="F65" s="63"/>
      <c r="G65" s="202"/>
    </row>
    <row r="66" spans="1:7" ht="12.75">
      <c r="A66" s="47"/>
      <c r="B66" s="47"/>
      <c r="C66" s="63"/>
      <c r="D66" s="63"/>
      <c r="E66" s="83"/>
      <c r="F66" s="63"/>
      <c r="G66" s="202"/>
    </row>
    <row r="67" spans="1:7" ht="12.75">
      <c r="A67" s="47"/>
      <c r="B67" s="48" t="s">
        <v>27</v>
      </c>
      <c r="C67" s="63"/>
      <c r="D67" s="83" t="s">
        <v>7</v>
      </c>
      <c r="E67" s="120">
        <f>SUM(D68:D68)</f>
        <v>4219</v>
      </c>
      <c r="F67" s="63"/>
      <c r="G67" s="202"/>
    </row>
    <row r="68" spans="1:7" ht="12.75">
      <c r="A68" s="104">
        <v>525</v>
      </c>
      <c r="B68" s="47" t="s">
        <v>7</v>
      </c>
      <c r="C68" s="63"/>
      <c r="D68" s="61">
        <v>4219</v>
      </c>
      <c r="E68" s="83"/>
      <c r="F68" s="63"/>
      <c r="G68" s="202"/>
    </row>
    <row r="69" spans="1:7" ht="12.75">
      <c r="A69" s="47"/>
      <c r="B69" s="49"/>
      <c r="C69" s="61"/>
      <c r="D69" s="61"/>
      <c r="E69" s="83"/>
      <c r="F69" s="63"/>
      <c r="G69" s="202"/>
    </row>
    <row r="70" spans="1:7" ht="12.75">
      <c r="A70" s="47"/>
      <c r="B70" s="48" t="s">
        <v>36</v>
      </c>
      <c r="C70" s="63"/>
      <c r="D70" s="83"/>
      <c r="E70" s="120">
        <f>SUM(D71:D71)</f>
        <v>2000</v>
      </c>
      <c r="F70" s="63"/>
      <c r="G70" s="202"/>
    </row>
    <row r="71" spans="1:7" ht="12.75">
      <c r="A71" s="104">
        <v>526</v>
      </c>
      <c r="B71" s="47" t="s">
        <v>354</v>
      </c>
      <c r="C71" s="63"/>
      <c r="D71" s="64">
        <v>2000</v>
      </c>
      <c r="E71" s="83"/>
      <c r="F71" s="63"/>
      <c r="G71" s="202"/>
    </row>
    <row r="72" spans="1:7" ht="12.75">
      <c r="A72" s="47"/>
      <c r="B72" s="47"/>
      <c r="C72" s="63"/>
      <c r="D72" s="61"/>
      <c r="E72" s="83"/>
      <c r="F72" s="63"/>
      <c r="G72" s="202"/>
    </row>
    <row r="73" spans="1:7" ht="12.75">
      <c r="A73" s="104"/>
      <c r="B73" s="48" t="s">
        <v>184</v>
      </c>
      <c r="C73" s="63"/>
      <c r="D73" s="83"/>
      <c r="E73" s="120">
        <f>+D74</f>
        <v>35000</v>
      </c>
      <c r="F73" s="63"/>
      <c r="G73" s="202"/>
    </row>
    <row r="74" spans="1:7" ht="12.75">
      <c r="A74" s="104">
        <v>532</v>
      </c>
      <c r="B74" s="47" t="s">
        <v>373</v>
      </c>
      <c r="C74" s="63"/>
      <c r="D74" s="83">
        <v>35000</v>
      </c>
      <c r="E74" s="83"/>
      <c r="F74" s="65"/>
      <c r="G74" s="202"/>
    </row>
    <row r="75" spans="1:7" ht="12.75">
      <c r="A75" s="60"/>
      <c r="B75" s="47"/>
      <c r="C75" s="63"/>
      <c r="D75" s="61"/>
      <c r="E75" s="83"/>
      <c r="F75" s="63"/>
      <c r="G75" s="202"/>
    </row>
    <row r="76" spans="1:7" ht="12.75">
      <c r="A76" s="104"/>
      <c r="B76" s="48" t="s">
        <v>277</v>
      </c>
      <c r="C76" s="63"/>
      <c r="D76" s="83"/>
      <c r="E76" s="120">
        <f>SUM(D77)</f>
        <v>0</v>
      </c>
      <c r="F76" s="65"/>
      <c r="G76" s="202"/>
    </row>
    <row r="77" spans="1:7" ht="12.75">
      <c r="A77" s="104">
        <v>553</v>
      </c>
      <c r="B77" s="47" t="s">
        <v>7</v>
      </c>
      <c r="C77" s="63"/>
      <c r="D77" s="83">
        <v>0</v>
      </c>
      <c r="E77" s="120"/>
      <c r="F77" s="65"/>
      <c r="G77" s="202"/>
    </row>
    <row r="78" spans="1:7" ht="12.75">
      <c r="A78" s="104"/>
      <c r="B78" s="48" t="s">
        <v>328</v>
      </c>
      <c r="C78" s="63"/>
      <c r="D78" s="122"/>
      <c r="E78" s="83"/>
      <c r="F78" s="63"/>
      <c r="G78" s="202"/>
    </row>
    <row r="79" spans="1:7" ht="12.75">
      <c r="A79" s="47"/>
      <c r="B79" s="47"/>
      <c r="C79" s="63"/>
      <c r="D79" s="64"/>
      <c r="E79" s="65">
        <v>0</v>
      </c>
      <c r="F79" s="65"/>
      <c r="G79" s="202"/>
    </row>
    <row r="80" spans="1:7" ht="12.75">
      <c r="A80" s="47"/>
      <c r="B80" s="48" t="s">
        <v>10</v>
      </c>
      <c r="C80" s="63"/>
      <c r="D80" s="61"/>
      <c r="E80" s="83"/>
      <c r="F80" s="63"/>
      <c r="G80" s="202"/>
    </row>
    <row r="81" spans="1:7" ht="12.75">
      <c r="A81" s="105"/>
      <c r="C81" s="63"/>
      <c r="D81" s="83"/>
      <c r="E81" s="120">
        <f>SUM(E42:E80)</f>
        <v>118423.79000000001</v>
      </c>
      <c r="F81" s="63"/>
      <c r="G81" s="202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3"/>
  <headerFooter>
    <oddFooter>&amp;CPage &amp;P&amp;RELECTRIC DISTRIBUTION</oddFooter>
  </headerFooter>
  <rowBreaks count="1" manualBreakCount="1">
    <brk id="35" max="255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8"/>
  <sheetViews>
    <sheetView showGridLines="0" zoomScaleSheetLayoutView="75" zoomScalePageLayoutView="0" workbookViewId="0" topLeftCell="A1">
      <pane xSplit="2" ySplit="7" topLeftCell="C32" activePane="bottomRight" state="frozen"/>
      <selection pane="topLeft" activeCell="I104" sqref="I104"/>
      <selection pane="topRight" activeCell="I104" sqref="I104"/>
      <selection pane="bottomLeft" activeCell="I104" sqref="I104"/>
      <selection pane="bottomRight" activeCell="E97" sqref="E97"/>
    </sheetView>
  </sheetViews>
  <sheetFormatPr defaultColWidth="9.00390625" defaultRowHeight="12.75"/>
  <cols>
    <col min="1" max="1" width="4.625" style="22" customWidth="1"/>
    <col min="2" max="2" width="22.625" style="22" customWidth="1"/>
    <col min="3" max="6" width="11.625" style="22" customWidth="1"/>
    <col min="7" max="16384" width="9.00390625" style="22" customWidth="1"/>
  </cols>
  <sheetData>
    <row r="1" spans="1:6" ht="12.75">
      <c r="A1" s="210" t="s">
        <v>267</v>
      </c>
      <c r="B1" s="211"/>
      <c r="C1" s="211"/>
      <c r="D1" s="211"/>
      <c r="E1" s="211"/>
      <c r="F1" s="211"/>
    </row>
    <row r="2" spans="1:6" ht="12.75">
      <c r="A2" s="210" t="s">
        <v>462</v>
      </c>
      <c r="B2" s="211"/>
      <c r="C2" s="211"/>
      <c r="D2" s="211"/>
      <c r="E2" s="211"/>
      <c r="F2" s="211"/>
    </row>
    <row r="3" spans="1:6" ht="12.75">
      <c r="A3" s="3"/>
      <c r="B3" s="3"/>
      <c r="C3" s="24"/>
      <c r="E3" s="3"/>
      <c r="F3" s="3"/>
    </row>
    <row r="4" spans="1:6" ht="12.75">
      <c r="A4" s="3"/>
      <c r="B4" s="3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</row>
    <row r="5" spans="1:6" ht="12.75">
      <c r="A5" s="3"/>
      <c r="B5" s="3"/>
      <c r="C5" s="36" t="s">
        <v>2</v>
      </c>
      <c r="D5" s="36" t="s">
        <v>2</v>
      </c>
      <c r="E5" s="36" t="s">
        <v>2</v>
      </c>
      <c r="F5" s="36" t="s">
        <v>2</v>
      </c>
    </row>
    <row r="6" spans="1:6" ht="12.75">
      <c r="A6" s="3"/>
      <c r="B6" s="3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</row>
    <row r="7" spans="1:6" ht="12.75">
      <c r="A7" s="3"/>
      <c r="B7" s="3"/>
      <c r="C7" s="7" t="s">
        <v>3</v>
      </c>
      <c r="D7" s="36" t="s">
        <v>194</v>
      </c>
      <c r="E7" s="36" t="s">
        <v>191</v>
      </c>
      <c r="F7" s="36" t="s">
        <v>191</v>
      </c>
    </row>
    <row r="8" spans="1:6" ht="12.75">
      <c r="A8" s="3"/>
      <c r="B8" s="3"/>
      <c r="C8" s="3"/>
      <c r="D8" s="3"/>
      <c r="E8" s="3"/>
      <c r="F8" s="3"/>
    </row>
    <row r="9" spans="1:6" ht="12.75">
      <c r="A9" s="5" t="s">
        <v>4</v>
      </c>
      <c r="B9" s="5"/>
      <c r="C9" s="3"/>
      <c r="D9" s="3"/>
      <c r="E9" s="3"/>
      <c r="F9" s="3"/>
    </row>
    <row r="10" spans="1:7" ht="12.75">
      <c r="A10" s="3">
        <v>511</v>
      </c>
      <c r="B10" s="3" t="s">
        <v>20</v>
      </c>
      <c r="C10" s="3">
        <v>28798.42</v>
      </c>
      <c r="D10" s="162">
        <v>19546.52</v>
      </c>
      <c r="E10" s="162">
        <v>31293</v>
      </c>
      <c r="F10" s="162">
        <v>32167.5</v>
      </c>
      <c r="G10" s="22" t="s">
        <v>7</v>
      </c>
    </row>
    <row r="11" spans="1:7" ht="12.75">
      <c r="A11" s="3">
        <v>513</v>
      </c>
      <c r="B11" s="3" t="s">
        <v>22</v>
      </c>
      <c r="C11" s="3">
        <v>8712.76</v>
      </c>
      <c r="D11" s="162">
        <v>7327.89</v>
      </c>
      <c r="E11" s="162">
        <v>10938</v>
      </c>
      <c r="F11" s="162">
        <v>9688</v>
      </c>
      <c r="G11" s="22" t="s">
        <v>7</v>
      </c>
    </row>
    <row r="12" spans="1:7" ht="12.75">
      <c r="A12" s="3">
        <v>514</v>
      </c>
      <c r="B12" s="3" t="s">
        <v>23</v>
      </c>
      <c r="C12" s="3">
        <v>2202.81</v>
      </c>
      <c r="D12" s="162">
        <v>1514.67</v>
      </c>
      <c r="E12" s="162">
        <v>2351</v>
      </c>
      <c r="F12" s="162">
        <v>2460.85</v>
      </c>
      <c r="G12" s="22" t="s">
        <v>7</v>
      </c>
    </row>
    <row r="13" spans="1:7" ht="12.75">
      <c r="A13" s="3">
        <v>515</v>
      </c>
      <c r="B13" s="3" t="s">
        <v>270</v>
      </c>
      <c r="C13" s="3">
        <v>1406.88</v>
      </c>
      <c r="D13" s="162">
        <v>941.7</v>
      </c>
      <c r="E13" s="162">
        <v>1536</v>
      </c>
      <c r="F13" s="162">
        <v>1608.4</v>
      </c>
      <c r="G13" s="22" t="s">
        <v>7</v>
      </c>
    </row>
    <row r="14" spans="1:7" ht="12.75">
      <c r="A14" s="3">
        <v>521</v>
      </c>
      <c r="B14" s="3" t="s">
        <v>263</v>
      </c>
      <c r="C14" s="3">
        <v>225</v>
      </c>
      <c r="D14" s="162">
        <v>525</v>
      </c>
      <c r="E14" s="162">
        <v>500</v>
      </c>
      <c r="F14" s="162">
        <v>1000</v>
      </c>
      <c r="G14" s="22" t="s">
        <v>7</v>
      </c>
    </row>
    <row r="15" spans="1:7" ht="12.75">
      <c r="A15" s="3">
        <v>522</v>
      </c>
      <c r="B15" s="3" t="s">
        <v>219</v>
      </c>
      <c r="C15" s="3">
        <v>600.6</v>
      </c>
      <c r="D15" s="162">
        <v>898.27</v>
      </c>
      <c r="E15" s="162">
        <v>600</v>
      </c>
      <c r="F15" s="162">
        <v>900</v>
      </c>
      <c r="G15" s="22" t="s">
        <v>7</v>
      </c>
    </row>
    <row r="16" spans="1:7" ht="12.75">
      <c r="A16" s="3">
        <v>523</v>
      </c>
      <c r="B16" s="3" t="s">
        <v>43</v>
      </c>
      <c r="C16" s="3">
        <v>82.35</v>
      </c>
      <c r="D16" s="162">
        <v>0</v>
      </c>
      <c r="E16" s="162">
        <v>300</v>
      </c>
      <c r="F16" s="162">
        <v>300</v>
      </c>
      <c r="G16" s="22" t="s">
        <v>7</v>
      </c>
    </row>
    <row r="17" spans="1:7" ht="12.75">
      <c r="A17" s="3">
        <v>524</v>
      </c>
      <c r="B17" s="3" t="s">
        <v>266</v>
      </c>
      <c r="C17" s="3">
        <v>267.5</v>
      </c>
      <c r="D17" s="162">
        <v>477.5</v>
      </c>
      <c r="E17" s="162">
        <v>250</v>
      </c>
      <c r="F17" s="162">
        <v>250</v>
      </c>
      <c r="G17" s="22" t="s">
        <v>7</v>
      </c>
    </row>
    <row r="18" spans="1:7" ht="12.75">
      <c r="A18" s="3">
        <v>525</v>
      </c>
      <c r="B18" s="3" t="s">
        <v>27</v>
      </c>
      <c r="C18" s="3">
        <v>4251.29</v>
      </c>
      <c r="D18" s="162">
        <v>3818.08</v>
      </c>
      <c r="E18" s="162">
        <v>4676</v>
      </c>
      <c r="F18" s="162">
        <v>4199.8</v>
      </c>
      <c r="G18" s="22" t="s">
        <v>7</v>
      </c>
    </row>
    <row r="19" spans="1:7" ht="12.75">
      <c r="A19" s="3">
        <v>526</v>
      </c>
      <c r="B19" s="3" t="s">
        <v>36</v>
      </c>
      <c r="C19" s="3">
        <v>14071.58</v>
      </c>
      <c r="D19" s="162">
        <v>16513.62</v>
      </c>
      <c r="E19" s="162">
        <v>14678</v>
      </c>
      <c r="F19" s="162">
        <v>16500</v>
      </c>
      <c r="G19" s="22" t="s">
        <v>7</v>
      </c>
    </row>
    <row r="20" spans="1:7" ht="12.75">
      <c r="A20" s="3">
        <v>529</v>
      </c>
      <c r="B20" s="3" t="s">
        <v>317</v>
      </c>
      <c r="C20" s="3">
        <v>0</v>
      </c>
      <c r="D20" s="162">
        <v>0</v>
      </c>
      <c r="E20" s="162">
        <v>100</v>
      </c>
      <c r="F20" s="162">
        <v>100</v>
      </c>
      <c r="G20" s="22" t="s">
        <v>7</v>
      </c>
    </row>
    <row r="21" spans="1:7" ht="12.75">
      <c r="A21" s="3">
        <v>532</v>
      </c>
      <c r="B21" s="3" t="s">
        <v>264</v>
      </c>
      <c r="C21" s="3">
        <v>44002.62</v>
      </c>
      <c r="D21" s="162">
        <v>18833.52</v>
      </c>
      <c r="E21" s="162">
        <v>25000</v>
      </c>
      <c r="F21" s="162">
        <v>25000</v>
      </c>
      <c r="G21" s="22" t="s">
        <v>7</v>
      </c>
    </row>
    <row r="22" spans="1:7" ht="12.75">
      <c r="A22" s="86">
        <v>554</v>
      </c>
      <c r="B22" s="3" t="s">
        <v>349</v>
      </c>
      <c r="C22" s="3">
        <v>62103.76</v>
      </c>
      <c r="D22" s="162">
        <v>51527.31</v>
      </c>
      <c r="E22" s="162">
        <v>40000</v>
      </c>
      <c r="F22" s="162">
        <v>20000</v>
      </c>
      <c r="G22" s="22" t="s">
        <v>7</v>
      </c>
    </row>
    <row r="23" spans="1:6" ht="12.75">
      <c r="A23" s="3">
        <v>561</v>
      </c>
      <c r="B23" s="3" t="s">
        <v>265</v>
      </c>
      <c r="C23" s="3">
        <v>11404.78</v>
      </c>
      <c r="D23" s="162">
        <v>22658.71</v>
      </c>
      <c r="E23" s="162">
        <v>25000</v>
      </c>
      <c r="F23" s="162">
        <v>25000</v>
      </c>
    </row>
    <row r="24" spans="1:6" ht="12.75">
      <c r="A24" s="86">
        <v>562</v>
      </c>
      <c r="B24" s="3" t="s">
        <v>195</v>
      </c>
      <c r="C24" s="3">
        <v>723.62</v>
      </c>
      <c r="D24" s="162">
        <v>899.25</v>
      </c>
      <c r="E24" s="162">
        <v>14000</v>
      </c>
      <c r="F24" s="162">
        <v>14000</v>
      </c>
    </row>
    <row r="25" spans="1:6" ht="12.75">
      <c r="A25" s="86">
        <v>581</v>
      </c>
      <c r="B25" s="3" t="s">
        <v>329</v>
      </c>
      <c r="C25" s="3">
        <v>0</v>
      </c>
      <c r="D25" s="162">
        <v>0</v>
      </c>
      <c r="E25" s="175" t="s">
        <v>7</v>
      </c>
      <c r="F25" s="175" t="s">
        <v>7</v>
      </c>
    </row>
    <row r="26" spans="1:8" ht="12.75">
      <c r="A26" s="5" t="s">
        <v>30</v>
      </c>
      <c r="B26" s="3"/>
      <c r="C26" s="5">
        <f>SUM(C10:C25)</f>
        <v>178853.97</v>
      </c>
      <c r="D26" s="5">
        <f>SUM(D10:D25)</f>
        <v>145482.04</v>
      </c>
      <c r="E26" s="5">
        <f>SUM(E10:E25)</f>
        <v>171222</v>
      </c>
      <c r="F26" s="5">
        <f>SUM(F10:F25)</f>
        <v>153174.55</v>
      </c>
      <c r="H26" s="22">
        <f>SUM(D26-E26)</f>
        <v>-25739.959999999992</v>
      </c>
    </row>
    <row r="27" spans="1:6" ht="12.75">
      <c r="A27" s="3"/>
      <c r="B27" s="3" t="s">
        <v>11</v>
      </c>
      <c r="C27" s="3">
        <v>0</v>
      </c>
      <c r="D27" s="24">
        <v>0</v>
      </c>
      <c r="E27" s="27">
        <v>0</v>
      </c>
      <c r="F27" s="27">
        <v>0</v>
      </c>
    </row>
    <row r="28" spans="1:7" ht="21" customHeight="1">
      <c r="A28" s="5" t="s">
        <v>12</v>
      </c>
      <c r="B28" s="5"/>
      <c r="C28" s="25">
        <f>SUM(C26:C27)</f>
        <v>178853.97</v>
      </c>
      <c r="D28" s="25">
        <f>SUM(D26:D27)</f>
        <v>145482.04</v>
      </c>
      <c r="E28" s="25">
        <f>SUM(E26:E27)</f>
        <v>171222</v>
      </c>
      <c r="F28" s="25">
        <f>SUM(F26:F27)</f>
        <v>153174.55</v>
      </c>
      <c r="G28" s="53" t="s">
        <v>7</v>
      </c>
    </row>
    <row r="29" spans="1:6" ht="21.75" customHeight="1">
      <c r="A29" s="5"/>
      <c r="B29" s="3"/>
      <c r="C29" s="25"/>
      <c r="D29" s="25"/>
      <c r="E29" s="25"/>
      <c r="F29" s="25"/>
    </row>
    <row r="30" spans="1:6" ht="12.75">
      <c r="A30" s="5" t="s">
        <v>13</v>
      </c>
      <c r="B30" s="3"/>
      <c r="C30" s="3"/>
      <c r="D30" s="21"/>
      <c r="E30" s="3"/>
      <c r="F30" s="21"/>
    </row>
    <row r="31" spans="1:6" ht="12.75">
      <c r="A31" s="3" t="s">
        <v>42</v>
      </c>
      <c r="B31" s="3"/>
      <c r="C31" s="3" t="s">
        <v>7</v>
      </c>
      <c r="D31" s="22">
        <v>0</v>
      </c>
      <c r="E31" s="3">
        <v>0</v>
      </c>
      <c r="F31" s="23">
        <v>0</v>
      </c>
    </row>
    <row r="32" spans="1:8" ht="12.75">
      <c r="A32" s="3">
        <v>426</v>
      </c>
      <c r="B32" s="3" t="s">
        <v>302</v>
      </c>
      <c r="C32" s="3">
        <v>0</v>
      </c>
      <c r="D32" s="162">
        <v>31163.58</v>
      </c>
      <c r="E32" s="162">
        <v>100</v>
      </c>
      <c r="F32" s="162">
        <v>100</v>
      </c>
      <c r="H32" s="22" t="s">
        <v>7</v>
      </c>
    </row>
    <row r="33" spans="1:6" ht="12.75">
      <c r="A33" s="3">
        <v>429</v>
      </c>
      <c r="B33" s="3" t="s">
        <v>195</v>
      </c>
      <c r="C33" s="3">
        <v>0</v>
      </c>
      <c r="D33" s="162">
        <v>0</v>
      </c>
      <c r="E33" s="162">
        <v>100</v>
      </c>
      <c r="F33" s="162">
        <v>100</v>
      </c>
    </row>
    <row r="34" spans="1:7" ht="12.75">
      <c r="A34" s="3">
        <v>455</v>
      </c>
      <c r="B34" s="3" t="s">
        <v>646</v>
      </c>
      <c r="C34" s="3">
        <v>205834.1</v>
      </c>
      <c r="D34" s="162">
        <v>169143.31</v>
      </c>
      <c r="E34" s="162">
        <v>170000</v>
      </c>
      <c r="F34" s="162">
        <v>160000</v>
      </c>
      <c r="G34" s="22" t="s">
        <v>7</v>
      </c>
    </row>
    <row r="35" spans="1:6" ht="12.75">
      <c r="A35" s="3">
        <v>458</v>
      </c>
      <c r="B35" s="3" t="s">
        <v>350</v>
      </c>
      <c r="C35" s="3">
        <v>0</v>
      </c>
      <c r="D35" s="162" t="s">
        <v>7</v>
      </c>
      <c r="E35" s="162">
        <v>0</v>
      </c>
      <c r="F35" s="162" t="s">
        <v>7</v>
      </c>
    </row>
    <row r="36" spans="1:6" ht="12.75">
      <c r="A36" s="3">
        <v>481</v>
      </c>
      <c r="B36" s="3" t="s">
        <v>305</v>
      </c>
      <c r="C36" s="3"/>
      <c r="D36" s="162">
        <v>0</v>
      </c>
      <c r="E36" s="162">
        <v>0</v>
      </c>
      <c r="F36" s="162">
        <v>0</v>
      </c>
    </row>
    <row r="37" spans="1:6" ht="12.75">
      <c r="A37" s="3"/>
      <c r="B37" s="3"/>
      <c r="C37" s="3"/>
      <c r="D37" s="21"/>
      <c r="E37" s="3"/>
      <c r="F37" s="21"/>
    </row>
    <row r="38" spans="1:8" ht="12.75">
      <c r="A38" s="5" t="s">
        <v>16</v>
      </c>
      <c r="B38" s="3"/>
      <c r="C38" s="5">
        <f>SUM(C31:C36)</f>
        <v>205834.1</v>
      </c>
      <c r="D38" s="5">
        <f>SUM(D31:D36)</f>
        <v>200306.89</v>
      </c>
      <c r="E38" s="5">
        <f>SUM(E31:E36)</f>
        <v>170200</v>
      </c>
      <c r="F38" s="5">
        <f>SUM(F31:F36)</f>
        <v>160200</v>
      </c>
      <c r="G38" s="53" t="s">
        <v>7</v>
      </c>
      <c r="H38" s="22">
        <f>SUM(D38-E38)</f>
        <v>30106.890000000014</v>
      </c>
    </row>
    <row r="39" spans="1:6" ht="12.75">
      <c r="A39" s="3"/>
      <c r="B39" s="3" t="s">
        <v>17</v>
      </c>
      <c r="C39" s="15">
        <f>SUM(C28)</f>
        <v>178853.97</v>
      </c>
      <c r="D39" s="15">
        <f>SUM(D28)</f>
        <v>145482.04</v>
      </c>
      <c r="E39" s="15">
        <f>SUM(E28)</f>
        <v>171222</v>
      </c>
      <c r="F39" s="15">
        <f>SUM(F28)</f>
        <v>153174.55</v>
      </c>
    </row>
    <row r="40" spans="1:6" ht="12.75">
      <c r="A40" s="3"/>
      <c r="B40" s="3"/>
      <c r="C40" s="3"/>
      <c r="D40" s="3"/>
      <c r="E40" s="3"/>
      <c r="F40" s="3" t="s">
        <v>7</v>
      </c>
    </row>
    <row r="41" spans="1:7" ht="18.75" customHeight="1">
      <c r="A41" s="5" t="s">
        <v>18</v>
      </c>
      <c r="B41" s="5"/>
      <c r="C41" s="25">
        <f>SUM(C38-C39)</f>
        <v>26980.130000000005</v>
      </c>
      <c r="D41" s="25">
        <f>SUM(D38-D39)</f>
        <v>54824.850000000006</v>
      </c>
      <c r="E41" s="25">
        <f>SUM(E38-E39)</f>
        <v>-1022</v>
      </c>
      <c r="F41" s="25">
        <f>+F38-F39</f>
        <v>7025.450000000012</v>
      </c>
      <c r="G41" s="53" t="s">
        <v>7</v>
      </c>
    </row>
    <row r="42" spans="1:6" ht="12.75">
      <c r="A42" s="21"/>
      <c r="B42" s="21"/>
      <c r="C42" s="21"/>
      <c r="D42" s="21" t="s">
        <v>7</v>
      </c>
      <c r="E42" s="21"/>
      <c r="F42" s="21"/>
    </row>
    <row r="43" spans="1:6" ht="12.75">
      <c r="A43" s="21"/>
      <c r="B43" s="21"/>
      <c r="C43" s="21" t="s">
        <v>459</v>
      </c>
      <c r="D43" s="21"/>
      <c r="E43" s="21"/>
      <c r="F43" s="21"/>
    </row>
    <row r="44" spans="1:6" ht="12.75">
      <c r="A44" s="21"/>
      <c r="B44" s="21"/>
      <c r="C44" s="21" t="s">
        <v>660</v>
      </c>
      <c r="D44" s="21"/>
      <c r="E44" s="21"/>
      <c r="F44" s="21"/>
    </row>
    <row r="45" spans="1:7" ht="12.75">
      <c r="A45" s="21"/>
      <c r="B45" s="21" t="s">
        <v>7</v>
      </c>
      <c r="C45" s="21" t="s">
        <v>463</v>
      </c>
      <c r="D45" s="21"/>
      <c r="E45" s="21"/>
      <c r="F45" s="21"/>
      <c r="G45" s="21"/>
    </row>
    <row r="46" spans="1:7" ht="12.75">
      <c r="A46" s="21"/>
      <c r="B46" s="21"/>
      <c r="C46" s="21"/>
      <c r="D46" s="21"/>
      <c r="E46" s="21"/>
      <c r="F46" s="21"/>
      <c r="G46" s="21"/>
    </row>
    <row r="47" spans="1:6" ht="12.75">
      <c r="A47" s="23" t="s">
        <v>282</v>
      </c>
      <c r="B47" s="21"/>
      <c r="C47" s="21"/>
      <c r="D47" s="21"/>
      <c r="E47" s="21"/>
      <c r="F47" s="21"/>
    </row>
    <row r="48" spans="1:6" ht="12.75">
      <c r="A48" s="23"/>
      <c r="B48" s="21"/>
      <c r="C48" s="21"/>
      <c r="D48" s="21"/>
      <c r="E48" s="21"/>
      <c r="F48" s="21"/>
    </row>
    <row r="49" spans="1:6" s="53" customFormat="1" ht="12.75">
      <c r="A49" s="23" t="s">
        <v>19</v>
      </c>
      <c r="B49" s="23" t="s">
        <v>20</v>
      </c>
      <c r="C49" s="23"/>
      <c r="D49" s="23"/>
      <c r="E49" s="23"/>
      <c r="F49" s="23">
        <f>SUM(E50:E60)</f>
        <v>32167.190000000002</v>
      </c>
    </row>
    <row r="50" spans="2:6" ht="12.75">
      <c r="B50" s="21" t="s">
        <v>247</v>
      </c>
      <c r="C50" s="21"/>
      <c r="D50" s="21"/>
      <c r="E50" s="21"/>
      <c r="F50" s="21"/>
    </row>
    <row r="51" spans="2:6" ht="12.75">
      <c r="B51" s="21" t="s">
        <v>351</v>
      </c>
      <c r="C51" s="21"/>
      <c r="D51" s="21"/>
      <c r="E51" s="21">
        <v>18266.45</v>
      </c>
      <c r="F51" s="21"/>
    </row>
    <row r="52" spans="2:6" ht="12.75">
      <c r="B52" s="21" t="s">
        <v>711</v>
      </c>
      <c r="C52" s="21"/>
      <c r="D52" s="21"/>
      <c r="E52" s="21">
        <v>547.99</v>
      </c>
      <c r="F52" s="21"/>
    </row>
    <row r="53" spans="2:6" ht="12.75">
      <c r="B53" s="22" t="s">
        <v>714</v>
      </c>
      <c r="E53" s="22">
        <v>600</v>
      </c>
      <c r="F53" s="21"/>
    </row>
    <row r="54" spans="2:6" ht="12.75">
      <c r="B54" s="21" t="s">
        <v>724</v>
      </c>
      <c r="C54" s="54" t="s">
        <v>7</v>
      </c>
      <c r="D54" s="21"/>
      <c r="E54" s="22">
        <v>1356.5</v>
      </c>
      <c r="F54" s="21"/>
    </row>
    <row r="55" spans="2:6" ht="12.75">
      <c r="B55" s="21"/>
      <c r="C55" s="54"/>
      <c r="D55" s="21"/>
      <c r="F55" s="21"/>
    </row>
    <row r="56" spans="2:6" ht="12.75">
      <c r="B56" s="21" t="s">
        <v>712</v>
      </c>
      <c r="C56" s="54"/>
      <c r="D56" s="21"/>
      <c r="E56" s="22">
        <v>10000</v>
      </c>
      <c r="F56" s="21"/>
    </row>
    <row r="57" spans="2:6" ht="12.75">
      <c r="B57" s="21" t="s">
        <v>479</v>
      </c>
      <c r="C57" s="54"/>
      <c r="D57" s="21"/>
      <c r="E57" s="22">
        <v>300</v>
      </c>
      <c r="F57" s="21"/>
    </row>
    <row r="58" spans="2:6" ht="12.75">
      <c r="B58" s="21" t="s">
        <v>672</v>
      </c>
      <c r="C58" s="54"/>
      <c r="D58" s="21"/>
      <c r="E58" s="22">
        <v>746.25</v>
      </c>
      <c r="F58" s="21"/>
    </row>
    <row r="59" spans="2:6" ht="12.75">
      <c r="B59" s="21" t="s">
        <v>723</v>
      </c>
      <c r="C59" s="54"/>
      <c r="D59" s="21"/>
      <c r="E59" s="22">
        <v>350</v>
      </c>
      <c r="F59" s="21"/>
    </row>
    <row r="60" spans="2:6" ht="12.75">
      <c r="B60" s="21" t="s">
        <v>7</v>
      </c>
      <c r="C60" s="54" t="s">
        <v>7</v>
      </c>
      <c r="D60" s="21"/>
      <c r="E60" s="23" t="s">
        <v>7</v>
      </c>
      <c r="F60" s="21"/>
    </row>
    <row r="61" spans="2:6" ht="12.75">
      <c r="B61" s="21"/>
      <c r="C61" s="54"/>
      <c r="D61" s="21"/>
      <c r="E61" s="51"/>
      <c r="F61" s="21"/>
    </row>
    <row r="62" spans="1:6" s="53" customFormat="1" ht="12.75">
      <c r="A62" s="23">
        <v>513</v>
      </c>
      <c r="B62" s="23" t="s">
        <v>22</v>
      </c>
      <c r="C62" s="23"/>
      <c r="D62" s="23"/>
      <c r="E62" s="23" t="s">
        <v>7</v>
      </c>
      <c r="F62" s="23">
        <f>SUM(E63:E63)</f>
        <v>9688.22</v>
      </c>
    </row>
    <row r="63" spans="1:5" ht="12.75">
      <c r="A63" s="21"/>
      <c r="B63" s="21" t="s">
        <v>7</v>
      </c>
      <c r="C63" s="21"/>
      <c r="D63" s="21"/>
      <c r="E63" s="21">
        <v>9688.22</v>
      </c>
    </row>
    <row r="64" spans="1:6" ht="12.75">
      <c r="A64" s="21"/>
      <c r="B64" s="21"/>
      <c r="C64" s="21"/>
      <c r="D64" s="21"/>
      <c r="E64" s="21"/>
      <c r="F64" s="21"/>
    </row>
    <row r="65" spans="1:6" s="53" customFormat="1" ht="12.75">
      <c r="A65" s="23">
        <v>514</v>
      </c>
      <c r="B65" s="23" t="s">
        <v>23</v>
      </c>
      <c r="C65" s="23"/>
      <c r="D65" s="23"/>
      <c r="E65" s="23"/>
      <c r="F65" s="23">
        <f>+E66</f>
        <v>2461</v>
      </c>
    </row>
    <row r="66" spans="1:6" ht="12.75">
      <c r="A66" s="21"/>
      <c r="B66" s="21" t="s">
        <v>7</v>
      </c>
      <c r="C66" s="21"/>
      <c r="D66" s="21"/>
      <c r="E66" s="21">
        <v>2461</v>
      </c>
      <c r="F66" s="21"/>
    </row>
    <row r="67" spans="1:6" ht="12.75">
      <c r="A67" s="21"/>
      <c r="B67" s="21"/>
      <c r="C67" s="21"/>
      <c r="D67" s="21"/>
      <c r="E67" s="21"/>
      <c r="F67" s="21"/>
    </row>
    <row r="68" spans="1:6" s="53" customFormat="1" ht="12.75">
      <c r="A68" s="23">
        <v>515</v>
      </c>
      <c r="B68" s="23" t="s">
        <v>339</v>
      </c>
      <c r="C68" s="23"/>
      <c r="D68" s="23"/>
      <c r="E68" s="23"/>
      <c r="F68" s="23">
        <f>SUM(E69:E69)</f>
        <v>1608.4</v>
      </c>
    </row>
    <row r="69" spans="1:6" ht="12.75">
      <c r="A69" s="21"/>
      <c r="B69" s="21" t="s">
        <v>7</v>
      </c>
      <c r="C69" s="21"/>
      <c r="D69" s="21"/>
      <c r="E69" s="21">
        <v>1608.4</v>
      </c>
      <c r="F69" s="21"/>
    </row>
    <row r="70" spans="1:6" ht="12.75">
      <c r="A70" s="21"/>
      <c r="B70" s="21"/>
      <c r="C70" s="21"/>
      <c r="D70" s="21"/>
      <c r="E70" s="21"/>
      <c r="F70" s="21"/>
    </row>
    <row r="71" spans="1:6" s="53" customFormat="1" ht="12.75">
      <c r="A71" s="23">
        <v>521</v>
      </c>
      <c r="B71" s="23" t="s">
        <v>263</v>
      </c>
      <c r="C71" s="23"/>
      <c r="D71" s="23"/>
      <c r="E71" s="23"/>
      <c r="F71" s="23">
        <f>SUM(E72:E72)</f>
        <v>1000</v>
      </c>
    </row>
    <row r="72" spans="1:6" ht="12.75">
      <c r="A72" s="21"/>
      <c r="B72" s="21" t="s">
        <v>352</v>
      </c>
      <c r="C72" s="21"/>
      <c r="D72" s="21"/>
      <c r="E72" s="21">
        <v>1000</v>
      </c>
      <c r="F72" s="21"/>
    </row>
    <row r="73" spans="1:6" ht="12.75">
      <c r="A73" s="21"/>
      <c r="B73" s="21"/>
      <c r="C73" s="21"/>
      <c r="D73" s="21"/>
      <c r="E73" s="21"/>
      <c r="F73" s="21"/>
    </row>
    <row r="74" spans="1:6" s="53" customFormat="1" ht="12.75">
      <c r="A74" s="23">
        <v>522</v>
      </c>
      <c r="B74" s="23" t="s">
        <v>219</v>
      </c>
      <c r="C74" s="23"/>
      <c r="D74" s="23"/>
      <c r="E74" s="23"/>
      <c r="F74" s="23">
        <f>SUM(E75:E75)</f>
        <v>900</v>
      </c>
    </row>
    <row r="75" spans="1:6" ht="12.75">
      <c r="A75" s="21"/>
      <c r="B75" s="21" t="s">
        <v>353</v>
      </c>
      <c r="C75" s="21"/>
      <c r="D75" s="21"/>
      <c r="E75" s="21">
        <v>900</v>
      </c>
      <c r="F75" s="21"/>
    </row>
    <row r="76" spans="1:6" ht="12.75">
      <c r="A76" s="21"/>
      <c r="B76" s="21"/>
      <c r="C76" s="21"/>
      <c r="D76" s="21"/>
      <c r="E76" s="21"/>
      <c r="F76" s="21"/>
    </row>
    <row r="77" spans="1:6" s="53" customFormat="1" ht="12.75">
      <c r="A77" s="23">
        <v>523</v>
      </c>
      <c r="B77" s="23" t="s">
        <v>43</v>
      </c>
      <c r="C77" s="23"/>
      <c r="D77" s="23"/>
      <c r="E77" s="23"/>
      <c r="F77" s="23">
        <f>SUM(E78:E78)</f>
        <v>300</v>
      </c>
    </row>
    <row r="78" spans="1:6" ht="12.75">
      <c r="A78" s="21" t="s">
        <v>7</v>
      </c>
      <c r="B78" s="21" t="s">
        <v>317</v>
      </c>
      <c r="C78" s="21"/>
      <c r="D78" s="21"/>
      <c r="E78" s="21">
        <v>300</v>
      </c>
      <c r="F78" s="21"/>
    </row>
    <row r="79" spans="1:6" ht="12.75">
      <c r="A79" s="21"/>
      <c r="B79" s="21"/>
      <c r="C79" s="21"/>
      <c r="D79" s="21"/>
      <c r="E79" s="21"/>
      <c r="F79" s="21"/>
    </row>
    <row r="80" spans="1:6" s="53" customFormat="1" ht="12" customHeight="1">
      <c r="A80" s="23">
        <v>524</v>
      </c>
      <c r="B80" s="23" t="s">
        <v>266</v>
      </c>
      <c r="C80" s="23"/>
      <c r="D80" s="23"/>
      <c r="E80" s="23"/>
      <c r="F80" s="23">
        <f>SUM(E81:E81)</f>
        <v>250</v>
      </c>
    </row>
    <row r="81" spans="1:6" ht="12.75">
      <c r="A81" s="21"/>
      <c r="B81" s="21" t="s">
        <v>317</v>
      </c>
      <c r="C81" s="21"/>
      <c r="D81" s="21"/>
      <c r="E81" s="21">
        <v>250</v>
      </c>
      <c r="F81" s="21"/>
    </row>
    <row r="82" spans="1:6" ht="12.75">
      <c r="A82" s="21"/>
      <c r="B82" s="21"/>
      <c r="C82" s="21"/>
      <c r="D82" s="21"/>
      <c r="E82" s="21"/>
      <c r="F82" s="21"/>
    </row>
    <row r="83" spans="1:6" s="53" customFormat="1" ht="12.75">
      <c r="A83" s="23">
        <v>525</v>
      </c>
      <c r="B83" s="23" t="s">
        <v>27</v>
      </c>
      <c r="C83" s="23"/>
      <c r="D83" s="23"/>
      <c r="E83" s="23"/>
      <c r="F83" s="23">
        <f>SUM(E84:E84)</f>
        <v>4199.8</v>
      </c>
    </row>
    <row r="84" spans="1:6" ht="12.75">
      <c r="A84" s="21"/>
      <c r="B84" s="21" t="s">
        <v>7</v>
      </c>
      <c r="C84" s="21"/>
      <c r="D84" s="21"/>
      <c r="E84" s="21">
        <v>4199.8</v>
      </c>
      <c r="F84" s="21"/>
    </row>
    <row r="85" spans="1:6" ht="12.75">
      <c r="A85" s="21"/>
      <c r="B85" s="21"/>
      <c r="C85" s="21"/>
      <c r="D85" s="21"/>
      <c r="E85" s="21"/>
      <c r="F85" s="21"/>
    </row>
    <row r="86" spans="1:6" s="53" customFormat="1" ht="12.75">
      <c r="A86" s="23">
        <v>526</v>
      </c>
      <c r="B86" s="23" t="s">
        <v>36</v>
      </c>
      <c r="C86" s="23"/>
      <c r="D86" s="23"/>
      <c r="E86" s="23"/>
      <c r="F86" s="23">
        <f>SUM(E87:E87)</f>
        <v>16500</v>
      </c>
    </row>
    <row r="87" spans="1:6" ht="12.75">
      <c r="A87" s="21"/>
      <c r="B87" s="21" t="s">
        <v>354</v>
      </c>
      <c r="C87" s="21"/>
      <c r="D87" s="21"/>
      <c r="E87" s="21">
        <v>16500</v>
      </c>
      <c r="F87" s="21"/>
    </row>
    <row r="88" spans="1:6" ht="12.75">
      <c r="A88" s="21"/>
      <c r="B88" s="21"/>
      <c r="C88" s="21"/>
      <c r="D88" s="21"/>
      <c r="E88" s="21"/>
      <c r="F88" s="21"/>
    </row>
    <row r="89" spans="1:6" s="53" customFormat="1" ht="12.75">
      <c r="A89" s="23">
        <v>529</v>
      </c>
      <c r="B89" s="23" t="s">
        <v>355</v>
      </c>
      <c r="C89" s="23"/>
      <c r="D89" s="23"/>
      <c r="E89" s="23"/>
      <c r="F89" s="23">
        <f>SUM(E90:E90)</f>
        <v>100</v>
      </c>
    </row>
    <row r="90" spans="1:6" ht="12.75">
      <c r="A90" s="21"/>
      <c r="B90" s="21" t="s">
        <v>356</v>
      </c>
      <c r="C90" s="21"/>
      <c r="D90" s="21"/>
      <c r="E90" s="21">
        <v>100</v>
      </c>
      <c r="F90" s="21"/>
    </row>
    <row r="91" spans="1:6" ht="12.75">
      <c r="A91" s="21"/>
      <c r="B91" s="21"/>
      <c r="C91" s="21"/>
      <c r="D91" s="21"/>
      <c r="E91" s="21"/>
      <c r="F91" s="21"/>
    </row>
    <row r="92" spans="1:6" s="53" customFormat="1" ht="12.75">
      <c r="A92" s="23">
        <v>532</v>
      </c>
      <c r="B92" s="23" t="s">
        <v>264</v>
      </c>
      <c r="C92" s="23"/>
      <c r="D92" s="23"/>
      <c r="E92" s="23"/>
      <c r="F92" s="23">
        <f>SUM(E93:E93)</f>
        <v>25000</v>
      </c>
    </row>
    <row r="93" spans="1:6" ht="12.75">
      <c r="A93" s="21"/>
      <c r="B93" s="21" t="s">
        <v>725</v>
      </c>
      <c r="C93" s="21"/>
      <c r="D93" s="21"/>
      <c r="E93" s="21">
        <v>25000</v>
      </c>
      <c r="F93" s="21"/>
    </row>
    <row r="94" spans="1:6" ht="12.75">
      <c r="A94" s="21"/>
      <c r="B94" s="21"/>
      <c r="C94" s="21"/>
      <c r="D94" s="21"/>
      <c r="E94" s="21"/>
      <c r="F94" s="21"/>
    </row>
    <row r="95" spans="1:6" s="53" customFormat="1" ht="12.75">
      <c r="A95" s="23">
        <v>554</v>
      </c>
      <c r="B95" s="23" t="s">
        <v>349</v>
      </c>
      <c r="C95" s="23"/>
      <c r="D95" s="23"/>
      <c r="E95" s="23"/>
      <c r="F95" s="23">
        <f>SUM(E96:E96)</f>
        <v>20000</v>
      </c>
    </row>
    <row r="96" spans="1:6" ht="12.75">
      <c r="A96" s="21"/>
      <c r="B96" s="21" t="s">
        <v>7</v>
      </c>
      <c r="C96" s="21"/>
      <c r="D96" s="21"/>
      <c r="E96" s="21">
        <v>20000</v>
      </c>
      <c r="F96" s="21"/>
    </row>
    <row r="97" spans="1:6" ht="12.75">
      <c r="A97" s="21"/>
      <c r="B97" s="21"/>
      <c r="C97" s="21"/>
      <c r="D97" s="21"/>
      <c r="E97" s="21"/>
      <c r="F97" s="21"/>
    </row>
    <row r="98" spans="1:6" s="53" customFormat="1" ht="12.75">
      <c r="A98" s="127">
        <v>561</v>
      </c>
      <c r="B98" s="23" t="s">
        <v>265</v>
      </c>
      <c r="C98" s="23"/>
      <c r="D98" s="23"/>
      <c r="E98" s="23"/>
      <c r="F98" s="23">
        <f>SUM(E99:E99)</f>
        <v>25000</v>
      </c>
    </row>
    <row r="99" spans="1:6" ht="12.75">
      <c r="A99" s="21"/>
      <c r="B99" s="21" t="s">
        <v>357</v>
      </c>
      <c r="C99" s="21"/>
      <c r="D99" s="21"/>
      <c r="E99" s="21">
        <v>25000</v>
      </c>
      <c r="F99" s="21"/>
    </row>
    <row r="100" spans="1:6" ht="12.75">
      <c r="A100" s="21"/>
      <c r="B100" s="21"/>
      <c r="C100" s="21"/>
      <c r="D100" s="21"/>
      <c r="E100" s="21"/>
      <c r="F100" s="21"/>
    </row>
    <row r="101" spans="1:6" s="53" customFormat="1" ht="12.75">
      <c r="A101" s="23">
        <v>562</v>
      </c>
      <c r="B101" s="23" t="s">
        <v>195</v>
      </c>
      <c r="C101" s="23"/>
      <c r="D101" s="23"/>
      <c r="E101" s="23"/>
      <c r="F101" s="23">
        <f>SUM(E102:E102)</f>
        <v>14000</v>
      </c>
    </row>
    <row r="102" spans="1:6" ht="12.75">
      <c r="A102" s="21"/>
      <c r="B102" s="21" t="s">
        <v>357</v>
      </c>
      <c r="C102" s="21"/>
      <c r="D102" s="21"/>
      <c r="E102" s="21">
        <v>14000</v>
      </c>
      <c r="F102" s="21"/>
    </row>
    <row r="103" spans="1:6" ht="12.75">
      <c r="A103" s="21"/>
      <c r="B103" s="21"/>
      <c r="C103" s="21"/>
      <c r="D103" s="21"/>
      <c r="E103" s="21"/>
      <c r="F103" s="21"/>
    </row>
    <row r="104" spans="1:6" s="53" customFormat="1" ht="12.75">
      <c r="A104" s="23">
        <v>581</v>
      </c>
      <c r="B104" s="23" t="s">
        <v>329</v>
      </c>
      <c r="C104" s="23"/>
      <c r="D104" s="23"/>
      <c r="E104" s="23"/>
      <c r="F104" s="23">
        <f>SUM(E105:E105)</f>
        <v>0</v>
      </c>
    </row>
    <row r="105" spans="1:6" ht="12.75">
      <c r="A105" s="21"/>
      <c r="B105" s="21" t="s">
        <v>7</v>
      </c>
      <c r="C105" s="21"/>
      <c r="D105" s="21"/>
      <c r="E105" s="21" t="s">
        <v>7</v>
      </c>
      <c r="F105" s="21"/>
    </row>
    <row r="106" spans="1:6" ht="12.75">
      <c r="A106" s="21"/>
      <c r="B106" s="21"/>
      <c r="C106" s="21"/>
      <c r="D106" s="21"/>
      <c r="E106" s="21" t="s">
        <v>7</v>
      </c>
      <c r="F106" s="21"/>
    </row>
    <row r="107" spans="1:6" ht="12.75">
      <c r="A107" s="21"/>
      <c r="B107" s="21" t="s">
        <v>10</v>
      </c>
      <c r="C107" s="21"/>
      <c r="D107" s="21"/>
      <c r="E107" s="21"/>
      <c r="F107" s="21"/>
    </row>
    <row r="108" ht="12.75">
      <c r="F108" s="53">
        <f>SUM(F49:F104)</f>
        <v>153174.61000000002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r:id="rId1"/>
  <headerFooter alignWithMargins="0">
    <oddFooter>&amp;CPage &amp;P&amp;RWATER</oddFooter>
  </headerFooter>
  <rowBreaks count="1" manualBreakCount="1">
    <brk id="42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115"/>
  <sheetViews>
    <sheetView showGridLines="0" zoomScaleSheetLayoutView="75" zoomScalePageLayoutView="0" workbookViewId="0" topLeftCell="A1">
      <pane xSplit="2" ySplit="7" topLeftCell="C95" activePane="bottomRight" state="frozen"/>
      <selection pane="topLeft" activeCell="I104" sqref="I104"/>
      <selection pane="topRight" activeCell="I104" sqref="I104"/>
      <selection pane="bottomLeft" activeCell="I104" sqref="I104"/>
      <selection pane="bottomRight" activeCell="F41" sqref="F41"/>
    </sheetView>
  </sheetViews>
  <sheetFormatPr defaultColWidth="9.00390625" defaultRowHeight="12.75"/>
  <cols>
    <col min="1" max="1" width="4.625" style="22" customWidth="1"/>
    <col min="2" max="2" width="25.875" style="22" customWidth="1"/>
    <col min="3" max="6" width="11.625" style="22" customWidth="1"/>
    <col min="7" max="7" width="9.00390625" style="22" customWidth="1"/>
    <col min="8" max="8" width="15.375" style="22" bestFit="1" customWidth="1"/>
    <col min="9" max="16384" width="9.00390625" style="22" customWidth="1"/>
  </cols>
  <sheetData>
    <row r="1" spans="1:6" ht="12.75">
      <c r="A1" s="210" t="s">
        <v>267</v>
      </c>
      <c r="B1" s="211"/>
      <c r="C1" s="211"/>
      <c r="D1" s="211"/>
      <c r="E1" s="211"/>
      <c r="F1" s="211"/>
    </row>
    <row r="2" spans="1:6" ht="12.75">
      <c r="A2" s="210" t="s">
        <v>464</v>
      </c>
      <c r="B2" s="211"/>
      <c r="C2" s="211"/>
      <c r="D2" s="211"/>
      <c r="E2" s="211"/>
      <c r="F2" s="211"/>
    </row>
    <row r="3" spans="1:6" ht="12.75">
      <c r="A3" s="3"/>
      <c r="B3" s="3"/>
      <c r="C3" s="24"/>
      <c r="D3" s="5"/>
      <c r="E3" s="3"/>
      <c r="F3" s="3"/>
    </row>
    <row r="4" spans="1:7" ht="12.75">
      <c r="A4" s="3"/>
      <c r="B4" s="3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  <c r="G4" s="22" t="s">
        <v>7</v>
      </c>
    </row>
    <row r="5" spans="1:6" ht="12.75">
      <c r="A5" s="3"/>
      <c r="B5" s="3"/>
      <c r="C5" s="36" t="s">
        <v>2</v>
      </c>
      <c r="D5" s="36" t="s">
        <v>2</v>
      </c>
      <c r="E5" s="36" t="s">
        <v>2</v>
      </c>
      <c r="F5" s="36" t="s">
        <v>2</v>
      </c>
    </row>
    <row r="6" spans="1:6" ht="12.75">
      <c r="A6" s="3"/>
      <c r="B6" s="3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</row>
    <row r="7" spans="1:6" ht="12.75">
      <c r="A7" s="3"/>
      <c r="B7" s="3"/>
      <c r="C7" s="7" t="s">
        <v>3</v>
      </c>
      <c r="D7" s="36" t="s">
        <v>194</v>
      </c>
      <c r="E7" s="36" t="s">
        <v>191</v>
      </c>
      <c r="F7" s="36" t="s">
        <v>191</v>
      </c>
    </row>
    <row r="8" spans="1:6" ht="12.75">
      <c r="A8" s="5" t="s">
        <v>4</v>
      </c>
      <c r="B8" s="3"/>
      <c r="C8" s="7"/>
      <c r="D8" s="7"/>
      <c r="E8" s="7"/>
      <c r="F8" s="7"/>
    </row>
    <row r="9" spans="1:7" ht="12.75">
      <c r="A9" s="3">
        <v>511</v>
      </c>
      <c r="B9" s="3" t="s">
        <v>20</v>
      </c>
      <c r="C9" s="3">
        <v>28798.66</v>
      </c>
      <c r="D9" s="162">
        <v>19536.62</v>
      </c>
      <c r="E9" s="162">
        <v>28789</v>
      </c>
      <c r="F9" s="162">
        <v>32167</v>
      </c>
      <c r="G9" s="22" t="s">
        <v>7</v>
      </c>
    </row>
    <row r="10" spans="1:7" ht="12.75">
      <c r="A10" s="3">
        <v>513</v>
      </c>
      <c r="B10" s="3" t="s">
        <v>22</v>
      </c>
      <c r="C10" s="3">
        <v>8778.69</v>
      </c>
      <c r="D10" s="162">
        <v>7399.85</v>
      </c>
      <c r="E10" s="162">
        <v>10938</v>
      </c>
      <c r="F10" s="162">
        <v>9688</v>
      </c>
      <c r="G10" s="22" t="s">
        <v>7</v>
      </c>
    </row>
    <row r="11" spans="1:7" ht="12.75">
      <c r="A11" s="3">
        <v>514</v>
      </c>
      <c r="B11" s="3" t="s">
        <v>23</v>
      </c>
      <c r="C11" s="3">
        <v>2203.05</v>
      </c>
      <c r="D11" s="162">
        <v>1514.91</v>
      </c>
      <c r="E11" s="162">
        <v>2202</v>
      </c>
      <c r="F11" s="162">
        <v>2461</v>
      </c>
      <c r="G11" s="22" t="s">
        <v>7</v>
      </c>
    </row>
    <row r="12" spans="1:7" ht="12.75">
      <c r="A12" s="3">
        <v>515</v>
      </c>
      <c r="B12" s="3" t="s">
        <v>270</v>
      </c>
      <c r="C12" s="3">
        <v>1406.88</v>
      </c>
      <c r="D12" s="162">
        <v>941.94</v>
      </c>
      <c r="E12" s="162">
        <v>1439</v>
      </c>
      <c r="F12" s="162">
        <v>1608</v>
      </c>
      <c r="G12" s="22" t="s">
        <v>7</v>
      </c>
    </row>
    <row r="13" spans="1:7" ht="12.75">
      <c r="A13" s="3">
        <v>521</v>
      </c>
      <c r="B13" s="3" t="s">
        <v>263</v>
      </c>
      <c r="C13" s="3">
        <v>75</v>
      </c>
      <c r="D13" s="162">
        <v>0</v>
      </c>
      <c r="E13" s="162">
        <v>500</v>
      </c>
      <c r="F13" s="162">
        <v>1000</v>
      </c>
      <c r="G13" s="22" t="s">
        <v>7</v>
      </c>
    </row>
    <row r="14" spans="1:7" ht="12.75">
      <c r="A14" s="3">
        <v>522</v>
      </c>
      <c r="B14" s="3" t="s">
        <v>219</v>
      </c>
      <c r="C14" s="3">
        <v>827.31</v>
      </c>
      <c r="D14" s="162">
        <v>864</v>
      </c>
      <c r="E14" s="162">
        <v>800</v>
      </c>
      <c r="F14" s="162">
        <v>900</v>
      </c>
      <c r="G14" s="22" t="s">
        <v>7</v>
      </c>
    </row>
    <row r="15" spans="1:7" ht="12.75">
      <c r="A15" s="3">
        <v>523</v>
      </c>
      <c r="B15" s="3" t="s">
        <v>43</v>
      </c>
      <c r="C15" s="3">
        <v>0</v>
      </c>
      <c r="D15" s="162">
        <v>0</v>
      </c>
      <c r="E15" s="162">
        <v>100</v>
      </c>
      <c r="F15" s="162">
        <v>100</v>
      </c>
      <c r="G15" s="22" t="s">
        <v>7</v>
      </c>
    </row>
    <row r="16" spans="1:7" ht="12.75">
      <c r="A16" s="3">
        <v>524</v>
      </c>
      <c r="B16" s="3" t="s">
        <v>266</v>
      </c>
      <c r="C16" s="3">
        <v>46</v>
      </c>
      <c r="D16" s="162">
        <v>0</v>
      </c>
      <c r="E16" s="162">
        <v>50</v>
      </c>
      <c r="F16" s="162">
        <v>50</v>
      </c>
      <c r="G16" s="22" t="s">
        <v>7</v>
      </c>
    </row>
    <row r="17" spans="1:7" ht="12.75">
      <c r="A17" s="3">
        <v>525</v>
      </c>
      <c r="B17" s="3" t="s">
        <v>27</v>
      </c>
      <c r="C17" s="3">
        <v>2620.35</v>
      </c>
      <c r="D17" s="162">
        <v>2304</v>
      </c>
      <c r="E17" s="162">
        <v>2882</v>
      </c>
      <c r="F17" s="162">
        <v>2534.4</v>
      </c>
      <c r="G17" s="22" t="s">
        <v>7</v>
      </c>
    </row>
    <row r="18" spans="1:7" ht="12.75">
      <c r="A18" s="3">
        <v>526</v>
      </c>
      <c r="B18" s="3" t="s">
        <v>36</v>
      </c>
      <c r="C18" s="3">
        <v>2597.61</v>
      </c>
      <c r="D18" s="162">
        <v>2845.02</v>
      </c>
      <c r="E18" s="162">
        <v>2867</v>
      </c>
      <c r="F18" s="162">
        <v>3000</v>
      </c>
      <c r="G18" s="22" t="s">
        <v>7</v>
      </c>
    </row>
    <row r="19" spans="1:6" ht="12.75">
      <c r="A19" s="3">
        <v>529</v>
      </c>
      <c r="B19" s="3" t="s">
        <v>317</v>
      </c>
      <c r="C19" s="3">
        <v>45</v>
      </c>
      <c r="D19" s="162">
        <v>0</v>
      </c>
      <c r="E19" s="162">
        <v>50</v>
      </c>
      <c r="F19" s="162">
        <v>50</v>
      </c>
    </row>
    <row r="20" spans="1:7" ht="12.75">
      <c r="A20" s="3">
        <v>532</v>
      </c>
      <c r="B20" s="3" t="s">
        <v>264</v>
      </c>
      <c r="C20" s="3">
        <v>6702.65</v>
      </c>
      <c r="D20" s="162">
        <v>9670.85</v>
      </c>
      <c r="E20" s="162">
        <v>15000</v>
      </c>
      <c r="F20" s="162">
        <v>40000</v>
      </c>
      <c r="G20" s="22" t="s">
        <v>713</v>
      </c>
    </row>
    <row r="21" spans="1:6" ht="12.75">
      <c r="A21" s="3">
        <v>553</v>
      </c>
      <c r="B21" s="3" t="s">
        <v>277</v>
      </c>
      <c r="C21" s="3">
        <v>0</v>
      </c>
      <c r="D21" s="162">
        <v>0</v>
      </c>
      <c r="E21" s="162">
        <v>0</v>
      </c>
      <c r="F21" s="162">
        <v>0</v>
      </c>
    </row>
    <row r="22" spans="1:6" ht="12.75">
      <c r="A22" s="3">
        <v>554</v>
      </c>
      <c r="B22" s="3" t="s">
        <v>605</v>
      </c>
      <c r="C22" s="3">
        <v>10040</v>
      </c>
      <c r="D22" s="162">
        <v>0</v>
      </c>
      <c r="E22" s="162">
        <v>55000</v>
      </c>
      <c r="F22" s="162">
        <v>0</v>
      </c>
    </row>
    <row r="23" spans="1:6" ht="12.75">
      <c r="A23" s="86">
        <v>561</v>
      </c>
      <c r="B23" s="3" t="s">
        <v>265</v>
      </c>
      <c r="C23" s="3">
        <v>67229.2</v>
      </c>
      <c r="D23" s="162">
        <v>59657.27</v>
      </c>
      <c r="E23" s="162">
        <v>65000</v>
      </c>
      <c r="F23" s="162">
        <v>60000</v>
      </c>
    </row>
    <row r="24" spans="1:6" ht="12.75">
      <c r="A24" s="86">
        <v>562</v>
      </c>
      <c r="B24" s="3" t="s">
        <v>358</v>
      </c>
      <c r="C24" s="3">
        <v>22091.94</v>
      </c>
      <c r="D24" s="162">
        <v>20165.02</v>
      </c>
      <c r="E24" s="162">
        <v>25900</v>
      </c>
      <c r="F24" s="162">
        <v>21000</v>
      </c>
    </row>
    <row r="25" spans="1:6" ht="12.75">
      <c r="A25" s="86">
        <v>563</v>
      </c>
      <c r="B25" s="3" t="s">
        <v>421</v>
      </c>
      <c r="C25" s="3">
        <v>7201.63</v>
      </c>
      <c r="D25" s="162">
        <v>6764.1</v>
      </c>
      <c r="E25" s="162">
        <v>8500</v>
      </c>
      <c r="F25" s="162">
        <v>8500</v>
      </c>
    </row>
    <row r="26" spans="1:9" ht="12.75">
      <c r="A26" s="86"/>
      <c r="B26" s="3" t="s">
        <v>420</v>
      </c>
      <c r="C26" s="15">
        <v>0</v>
      </c>
      <c r="D26" s="168">
        <v>0</v>
      </c>
      <c r="E26" s="168" t="s">
        <v>7</v>
      </c>
      <c r="F26" s="168" t="s">
        <v>7</v>
      </c>
      <c r="I26" s="178"/>
    </row>
    <row r="27" spans="1:6" s="53" customFormat="1" ht="12.75">
      <c r="A27" s="5" t="s">
        <v>30</v>
      </c>
      <c r="B27" s="5"/>
      <c r="C27" s="136">
        <f>SUM(C9:C26)</f>
        <v>160663.97</v>
      </c>
      <c r="D27" s="136">
        <f>SUM(D9:D26)</f>
        <v>131663.58</v>
      </c>
      <c r="E27" s="5">
        <f>SUM(E9:E26)</f>
        <v>220017</v>
      </c>
      <c r="F27" s="5">
        <f>SUM(F9:F26)</f>
        <v>183058.4</v>
      </c>
    </row>
    <row r="28" spans="1:6" ht="12.75">
      <c r="A28" s="3"/>
      <c r="B28" s="3" t="s">
        <v>11</v>
      </c>
      <c r="C28" s="3">
        <v>0</v>
      </c>
      <c r="D28" s="24">
        <v>0</v>
      </c>
      <c r="E28" s="15">
        <v>0</v>
      </c>
      <c r="F28" s="27">
        <v>0</v>
      </c>
    </row>
    <row r="29" spans="1:8" s="53" customFormat="1" ht="18.75" customHeight="1">
      <c r="A29" s="5" t="s">
        <v>12</v>
      </c>
      <c r="B29" s="5"/>
      <c r="C29" s="25">
        <f>SUM(C27:C28)</f>
        <v>160663.97</v>
      </c>
      <c r="D29" s="25">
        <f>SUM(D27:D28)</f>
        <v>131663.58</v>
      </c>
      <c r="E29" s="25">
        <f>SUM(E27:E28)</f>
        <v>220017</v>
      </c>
      <c r="F29" s="25">
        <f>SUM(F27:F28)</f>
        <v>183058.4</v>
      </c>
      <c r="G29" s="53" t="s">
        <v>7</v>
      </c>
      <c r="H29" s="208">
        <f>SUM(D29-E29)</f>
        <v>-88353.42000000001</v>
      </c>
    </row>
    <row r="30" spans="1:6" ht="12.75">
      <c r="A30" s="3"/>
      <c r="B30" s="3"/>
      <c r="C30" s="3"/>
      <c r="D30" s="21"/>
      <c r="E30" s="3"/>
      <c r="F30" s="21"/>
    </row>
    <row r="31" spans="1:6" s="53" customFormat="1" ht="12.75">
      <c r="A31" s="5" t="s">
        <v>13</v>
      </c>
      <c r="B31" s="5"/>
      <c r="C31" s="5"/>
      <c r="D31" s="23"/>
      <c r="E31" s="5"/>
      <c r="F31" s="23"/>
    </row>
    <row r="32" spans="1:6" s="53" customFormat="1" ht="12.75">
      <c r="A32" s="3" t="s">
        <v>42</v>
      </c>
      <c r="B32" s="5"/>
      <c r="C32" s="3">
        <v>0</v>
      </c>
      <c r="D32" s="23">
        <v>0</v>
      </c>
      <c r="E32" s="5">
        <v>0</v>
      </c>
      <c r="F32" s="23">
        <v>0</v>
      </c>
    </row>
    <row r="33" spans="1:6" s="53" customFormat="1" ht="12.75">
      <c r="A33" s="3">
        <v>423</v>
      </c>
      <c r="B33" s="3" t="s">
        <v>623</v>
      </c>
      <c r="C33" s="3">
        <v>3320.05</v>
      </c>
      <c r="D33" s="21">
        <v>1479.45</v>
      </c>
      <c r="E33" s="23">
        <v>2000</v>
      </c>
      <c r="F33" s="21">
        <v>2000</v>
      </c>
    </row>
    <row r="34" spans="1:7" ht="12.75">
      <c r="A34" s="3">
        <v>426</v>
      </c>
      <c r="B34" s="3" t="s">
        <v>302</v>
      </c>
      <c r="C34" s="3">
        <v>1616</v>
      </c>
      <c r="D34" s="162">
        <v>153.57</v>
      </c>
      <c r="E34" s="162">
        <v>2000</v>
      </c>
      <c r="F34" s="162">
        <v>1000</v>
      </c>
      <c r="G34" s="22" t="s">
        <v>7</v>
      </c>
    </row>
    <row r="35" spans="1:6" ht="12.75">
      <c r="A35" s="3">
        <v>460</v>
      </c>
      <c r="B35" s="3" t="s">
        <v>604</v>
      </c>
      <c r="C35" s="3"/>
      <c r="D35" s="162">
        <v>0</v>
      </c>
      <c r="E35" s="162">
        <v>40000</v>
      </c>
      <c r="F35" s="162">
        <v>0</v>
      </c>
    </row>
    <row r="36" spans="1:8" ht="12.75">
      <c r="A36" s="3">
        <v>462</v>
      </c>
      <c r="B36" s="3" t="s">
        <v>678</v>
      </c>
      <c r="C36" s="3">
        <v>181168.33</v>
      </c>
      <c r="D36" s="162">
        <v>178540.16</v>
      </c>
      <c r="E36" s="162">
        <v>180000</v>
      </c>
      <c r="F36" s="162">
        <v>180500</v>
      </c>
      <c r="G36" s="22" t="s">
        <v>7</v>
      </c>
      <c r="H36" s="22" t="s">
        <v>7</v>
      </c>
    </row>
    <row r="37" spans="1:6" ht="12.75">
      <c r="A37" s="3"/>
      <c r="B37" s="3" t="s">
        <v>419</v>
      </c>
      <c r="C37" s="3"/>
      <c r="D37" s="162"/>
      <c r="E37" s="162" t="s">
        <v>7</v>
      </c>
      <c r="F37" s="162" t="s">
        <v>7</v>
      </c>
    </row>
    <row r="38" spans="1:6" ht="12.75">
      <c r="A38" s="3"/>
      <c r="B38" s="3" t="s">
        <v>417</v>
      </c>
      <c r="C38" s="3"/>
      <c r="D38" s="162"/>
      <c r="E38" s="162"/>
      <c r="F38" s="162"/>
    </row>
    <row r="39" spans="1:6" ht="12.75">
      <c r="A39" s="3"/>
      <c r="B39" s="3" t="s">
        <v>418</v>
      </c>
      <c r="C39" s="15">
        <v>0</v>
      </c>
      <c r="D39" s="168"/>
      <c r="E39" s="168"/>
      <c r="F39" s="168"/>
    </row>
    <row r="40" spans="1:6" ht="12.75">
      <c r="A40" s="3"/>
      <c r="B40" s="3"/>
      <c r="C40" s="3"/>
      <c r="D40" s="21"/>
      <c r="E40" s="3"/>
      <c r="F40" s="21"/>
    </row>
    <row r="41" spans="1:8" s="53" customFormat="1" ht="12.75">
      <c r="A41" s="5" t="s">
        <v>16</v>
      </c>
      <c r="B41" s="5"/>
      <c r="C41" s="5">
        <f>SUM(C32:C39)</f>
        <v>186104.37999999998</v>
      </c>
      <c r="D41" s="5">
        <f>SUM(D32:D36)</f>
        <v>180173.18</v>
      </c>
      <c r="E41" s="5">
        <f>SUM(E32:E36)</f>
        <v>224000</v>
      </c>
      <c r="F41" s="5">
        <f>SUM(F32:F40)</f>
        <v>183500</v>
      </c>
      <c r="G41" s="53" t="s">
        <v>7</v>
      </c>
      <c r="H41" s="208">
        <f>SUM(D41-E41)</f>
        <v>-43826.82000000001</v>
      </c>
    </row>
    <row r="42" spans="1:6" ht="12.75">
      <c r="A42" s="3"/>
      <c r="B42" s="3" t="s">
        <v>17</v>
      </c>
      <c r="C42" s="15">
        <f>SUM(C29)</f>
        <v>160663.97</v>
      </c>
      <c r="D42" s="15">
        <f>SUM(D29)</f>
        <v>131663.58</v>
      </c>
      <c r="E42" s="15">
        <f>SUM(E29)</f>
        <v>220017</v>
      </c>
      <c r="F42" s="15">
        <f>SUM(F29)</f>
        <v>183058.4</v>
      </c>
    </row>
    <row r="43" spans="1:7" ht="18.75" customHeight="1">
      <c r="A43" s="5" t="s">
        <v>18</v>
      </c>
      <c r="B43" s="5"/>
      <c r="C43" s="25">
        <f>SUM(C41-C42)</f>
        <v>25440.409999999974</v>
      </c>
      <c r="D43" s="25">
        <f>SUM(D41-D42)</f>
        <v>48509.600000000006</v>
      </c>
      <c r="E43" s="25">
        <f>SUM(E41-E42)</f>
        <v>3983</v>
      </c>
      <c r="F43" s="25">
        <f>SUM(F41-F42)</f>
        <v>441.6000000000058</v>
      </c>
      <c r="G43" s="53" t="s">
        <v>7</v>
      </c>
    </row>
    <row r="44" spans="1:6" ht="12.75">
      <c r="A44" s="21"/>
      <c r="B44" s="21"/>
      <c r="C44" s="21"/>
      <c r="D44" s="21"/>
      <c r="E44" s="36"/>
      <c r="F44" s="21"/>
    </row>
    <row r="45" spans="1:7" ht="12.75">
      <c r="A45" s="21"/>
      <c r="B45" s="21"/>
      <c r="C45" s="21" t="s">
        <v>459</v>
      </c>
      <c r="D45" s="21"/>
      <c r="E45" s="21"/>
      <c r="F45" s="21"/>
      <c r="G45" s="21"/>
    </row>
    <row r="46" spans="1:7" ht="12.75">
      <c r="A46" s="21"/>
      <c r="B46" s="21" t="s">
        <v>7</v>
      </c>
      <c r="C46" s="21" t="s">
        <v>661</v>
      </c>
      <c r="D46" s="21"/>
      <c r="E46" s="21"/>
      <c r="F46" s="21"/>
      <c r="G46" s="21"/>
    </row>
    <row r="47" spans="2:7" ht="12.75">
      <c r="B47" s="21"/>
      <c r="C47" s="21" t="s">
        <v>465</v>
      </c>
      <c r="D47" s="21"/>
      <c r="E47" s="21"/>
      <c r="F47" s="21"/>
      <c r="G47" s="21"/>
    </row>
    <row r="48" spans="2:7" ht="12.75">
      <c r="B48" s="21"/>
      <c r="C48" s="21"/>
      <c r="D48" s="21"/>
      <c r="E48" s="21"/>
      <c r="F48" s="21"/>
      <c r="G48" s="21"/>
    </row>
    <row r="49" spans="1:7" ht="12.75">
      <c r="A49" s="23" t="s">
        <v>282</v>
      </c>
      <c r="B49" s="21"/>
      <c r="C49" s="21"/>
      <c r="D49" s="21"/>
      <c r="E49" s="21"/>
      <c r="F49" s="21"/>
      <c r="G49" s="21"/>
    </row>
    <row r="50" spans="1:7" ht="12.75">
      <c r="A50" s="23"/>
      <c r="B50" s="21"/>
      <c r="C50" s="21"/>
      <c r="D50" s="21"/>
      <c r="E50" s="21"/>
      <c r="F50" s="21"/>
      <c r="G50" s="21"/>
    </row>
    <row r="51" spans="1:6" s="53" customFormat="1" ht="12.75">
      <c r="A51" s="23">
        <v>511</v>
      </c>
      <c r="B51" s="23" t="s">
        <v>20</v>
      </c>
      <c r="C51" s="23"/>
      <c r="D51" s="23"/>
      <c r="E51" s="23"/>
      <c r="F51" s="23">
        <f>+E57+E64</f>
        <v>32167</v>
      </c>
    </row>
    <row r="52" spans="1:6" ht="12.75">
      <c r="A52" s="21"/>
      <c r="B52" s="21" t="s">
        <v>360</v>
      </c>
      <c r="C52" s="21"/>
      <c r="D52" s="21"/>
      <c r="E52" s="21"/>
      <c r="F52" s="21"/>
    </row>
    <row r="53" spans="1:6" ht="12.75">
      <c r="A53" s="21"/>
      <c r="B53" s="21" t="s">
        <v>361</v>
      </c>
      <c r="C53" s="21"/>
      <c r="D53" s="21"/>
      <c r="E53" s="21">
        <v>18266</v>
      </c>
      <c r="F53" s="21"/>
    </row>
    <row r="54" spans="1:6" ht="12.75">
      <c r="A54" s="21"/>
      <c r="B54" s="21" t="s">
        <v>624</v>
      </c>
      <c r="C54" s="21"/>
      <c r="D54" s="21"/>
      <c r="E54" s="21">
        <v>548</v>
      </c>
      <c r="F54" s="21"/>
    </row>
    <row r="55" spans="1:6" ht="12.75">
      <c r="A55" s="21"/>
      <c r="B55" s="21" t="s">
        <v>715</v>
      </c>
      <c r="C55" s="21"/>
      <c r="D55" s="21"/>
      <c r="E55" s="21">
        <v>600</v>
      </c>
      <c r="F55" s="21"/>
    </row>
    <row r="56" spans="1:6" ht="12.75">
      <c r="A56" s="21"/>
      <c r="B56" s="21" t="s">
        <v>32</v>
      </c>
      <c r="C56" s="21"/>
      <c r="D56" s="21"/>
      <c r="E56" s="32">
        <v>1357</v>
      </c>
      <c r="F56" s="21"/>
    </row>
    <row r="57" spans="1:6" ht="12.75">
      <c r="A57" s="21"/>
      <c r="B57" s="21"/>
      <c r="C57" s="21"/>
      <c r="D57" s="21"/>
      <c r="E57" s="23">
        <f>SUM(E53:E56)</f>
        <v>20771</v>
      </c>
      <c r="F57" s="21"/>
    </row>
    <row r="58" spans="1:6" ht="12.75">
      <c r="A58" s="21"/>
      <c r="B58" s="21"/>
      <c r="C58" s="21"/>
      <c r="D58" s="21"/>
      <c r="E58" s="21"/>
      <c r="F58" s="21"/>
    </row>
    <row r="59" spans="2:6" ht="12.75">
      <c r="B59" s="21"/>
      <c r="C59" s="21"/>
      <c r="D59" s="21"/>
      <c r="E59" s="51"/>
      <c r="F59" s="21"/>
    </row>
    <row r="60" spans="1:6" ht="12.75">
      <c r="A60" s="21"/>
      <c r="B60" s="21" t="s">
        <v>712</v>
      </c>
      <c r="C60" s="21"/>
      <c r="D60" s="21"/>
      <c r="E60" s="21">
        <v>10000</v>
      </c>
      <c r="F60" s="21"/>
    </row>
    <row r="61" spans="1:6" ht="12.75">
      <c r="A61" s="21"/>
      <c r="B61" s="21" t="s">
        <v>480</v>
      </c>
      <c r="C61" s="21"/>
      <c r="D61" s="21"/>
      <c r="E61" s="21">
        <v>300</v>
      </c>
      <c r="F61" s="21"/>
    </row>
    <row r="62" spans="1:6" ht="12.75">
      <c r="A62" s="21"/>
      <c r="B62" s="21" t="s">
        <v>723</v>
      </c>
      <c r="C62" s="21"/>
      <c r="D62" s="21"/>
      <c r="E62" s="21">
        <v>350</v>
      </c>
      <c r="F62" s="21"/>
    </row>
    <row r="63" spans="1:6" ht="12.75">
      <c r="A63" s="21"/>
      <c r="B63" s="21" t="s">
        <v>673</v>
      </c>
      <c r="C63" s="21"/>
      <c r="D63" s="21"/>
      <c r="E63" s="32">
        <v>746</v>
      </c>
      <c r="F63" s="21"/>
    </row>
    <row r="64" spans="2:8" ht="12.75">
      <c r="B64" s="21" t="s">
        <v>7</v>
      </c>
      <c r="C64" s="21"/>
      <c r="D64" s="21"/>
      <c r="E64" s="23">
        <f>SUM(E60:E63)</f>
        <v>11396</v>
      </c>
      <c r="F64" s="21"/>
      <c r="G64" s="21"/>
      <c r="H64" s="21"/>
    </row>
    <row r="65" spans="2:8" ht="12.75">
      <c r="B65" s="21"/>
      <c r="C65" s="21"/>
      <c r="D65" s="21"/>
      <c r="E65" s="21"/>
      <c r="F65" s="21"/>
      <c r="G65" s="21"/>
      <c r="H65" s="21"/>
    </row>
    <row r="66" spans="1:6" s="53" customFormat="1" ht="12.75">
      <c r="A66" s="23">
        <v>513</v>
      </c>
      <c r="B66" s="23" t="s">
        <v>22</v>
      </c>
      <c r="C66" s="23"/>
      <c r="E66" s="23"/>
      <c r="F66" s="23">
        <f>SUM(E67:E67)</f>
        <v>9688</v>
      </c>
    </row>
    <row r="67" spans="1:6" ht="12.75">
      <c r="A67" s="21"/>
      <c r="B67" s="21" t="s">
        <v>652</v>
      </c>
      <c r="C67" s="21"/>
      <c r="E67" s="21">
        <v>9688</v>
      </c>
      <c r="F67" s="21"/>
    </row>
    <row r="68" spans="1:6" ht="12.75">
      <c r="A68" s="21"/>
      <c r="B68" s="21"/>
      <c r="C68" s="21"/>
      <c r="D68" s="21"/>
      <c r="E68" s="21"/>
      <c r="F68" s="21"/>
    </row>
    <row r="69" spans="1:6" s="53" customFormat="1" ht="12.75">
      <c r="A69" s="23">
        <v>514</v>
      </c>
      <c r="B69" s="23" t="s">
        <v>586</v>
      </c>
      <c r="C69" s="23"/>
      <c r="D69" s="23"/>
      <c r="F69" s="23">
        <f>+E70</f>
        <v>4069</v>
      </c>
    </row>
    <row r="70" spans="1:6" ht="12.75">
      <c r="A70" s="21"/>
      <c r="B70" s="21" t="s">
        <v>647</v>
      </c>
      <c r="C70" s="21"/>
      <c r="E70" s="21">
        <v>4069</v>
      </c>
      <c r="F70" s="21"/>
    </row>
    <row r="71" spans="1:6" ht="12.75">
      <c r="A71" s="21"/>
      <c r="B71" s="21"/>
      <c r="C71" s="21"/>
      <c r="D71" s="21"/>
      <c r="E71" s="21"/>
      <c r="F71" s="21"/>
    </row>
    <row r="72" spans="1:6" s="53" customFormat="1" ht="12.75">
      <c r="A72" s="23">
        <v>521</v>
      </c>
      <c r="B72" s="23" t="s">
        <v>263</v>
      </c>
      <c r="C72" s="23"/>
      <c r="D72" s="23"/>
      <c r="E72" s="23"/>
      <c r="F72" s="23">
        <f>SUM(E73:E73)</f>
        <v>1000</v>
      </c>
    </row>
    <row r="73" spans="1:6" ht="12.75">
      <c r="A73" s="21"/>
      <c r="B73" s="21" t="s">
        <v>362</v>
      </c>
      <c r="C73" s="21"/>
      <c r="D73" s="21"/>
      <c r="E73" s="21">
        <v>1000</v>
      </c>
      <c r="F73" s="21"/>
    </row>
    <row r="74" spans="1:6" ht="12.75">
      <c r="A74" s="21"/>
      <c r="B74" s="21"/>
      <c r="C74" s="21"/>
      <c r="D74" s="21"/>
      <c r="E74" s="21"/>
      <c r="F74" s="21"/>
    </row>
    <row r="75" spans="1:6" s="53" customFormat="1" ht="12.75">
      <c r="A75" s="23">
        <v>522</v>
      </c>
      <c r="B75" s="23" t="s">
        <v>219</v>
      </c>
      <c r="C75" s="23"/>
      <c r="D75" s="23"/>
      <c r="E75" s="23"/>
      <c r="F75" s="23">
        <f>SUM(E76:E76)</f>
        <v>900</v>
      </c>
    </row>
    <row r="76" spans="1:6" ht="12.75">
      <c r="A76" s="21"/>
      <c r="B76" s="21" t="s">
        <v>363</v>
      </c>
      <c r="C76" s="21"/>
      <c r="D76" s="21"/>
      <c r="E76" s="21">
        <v>900</v>
      </c>
      <c r="F76" s="21"/>
    </row>
    <row r="77" spans="1:6" ht="12.75">
      <c r="A77" s="21"/>
      <c r="B77" s="21"/>
      <c r="C77" s="21"/>
      <c r="D77" s="21"/>
      <c r="E77" s="21"/>
      <c r="F77" s="21"/>
    </row>
    <row r="78" spans="1:6" s="53" customFormat="1" ht="12.75">
      <c r="A78" s="23">
        <v>523</v>
      </c>
      <c r="B78" s="23" t="s">
        <v>43</v>
      </c>
      <c r="C78" s="23"/>
      <c r="D78" s="23"/>
      <c r="E78" s="23"/>
      <c r="F78" s="23">
        <f>SUM(E79:E79)</f>
        <v>100</v>
      </c>
    </row>
    <row r="79" spans="1:6" ht="12.75">
      <c r="A79" s="21"/>
      <c r="B79" s="21" t="s">
        <v>317</v>
      </c>
      <c r="C79" s="21"/>
      <c r="D79" s="21"/>
      <c r="E79" s="21">
        <v>100</v>
      </c>
      <c r="F79" s="21"/>
    </row>
    <row r="80" spans="1:6" ht="12.75">
      <c r="A80" s="21"/>
      <c r="B80" s="21"/>
      <c r="C80" s="21"/>
      <c r="D80" s="21"/>
      <c r="E80" s="21"/>
      <c r="F80" s="21"/>
    </row>
    <row r="81" spans="1:6" s="53" customFormat="1" ht="12.75">
      <c r="A81" s="23">
        <v>524</v>
      </c>
      <c r="B81" s="23" t="s">
        <v>266</v>
      </c>
      <c r="C81" s="23"/>
      <c r="D81" s="23"/>
      <c r="E81" s="23"/>
      <c r="F81" s="23">
        <f>SUM(E82:E82)</f>
        <v>50</v>
      </c>
    </row>
    <row r="82" spans="1:6" ht="12.75">
      <c r="A82" s="21"/>
      <c r="B82" s="21" t="s">
        <v>317</v>
      </c>
      <c r="C82" s="21"/>
      <c r="D82" s="21"/>
      <c r="E82" s="21">
        <v>50</v>
      </c>
      <c r="F82" s="21"/>
    </row>
    <row r="83" spans="1:6" ht="12.75">
      <c r="A83" s="21"/>
      <c r="B83" s="21"/>
      <c r="C83" s="21"/>
      <c r="D83" s="21"/>
      <c r="E83" s="21"/>
      <c r="F83" s="21"/>
    </row>
    <row r="84" spans="1:6" s="53" customFormat="1" ht="12.75">
      <c r="A84" s="23">
        <v>525</v>
      </c>
      <c r="B84" s="23" t="s">
        <v>27</v>
      </c>
      <c r="C84" s="23"/>
      <c r="D84" s="23"/>
      <c r="E84" s="23"/>
      <c r="F84" s="23">
        <f>SUM(E85:E85)</f>
        <v>2534</v>
      </c>
    </row>
    <row r="85" spans="1:6" ht="12.75">
      <c r="A85" s="21"/>
      <c r="B85" s="21" t="s">
        <v>7</v>
      </c>
      <c r="C85" s="21"/>
      <c r="D85" s="21"/>
      <c r="E85" s="21">
        <v>2534</v>
      </c>
      <c r="F85" s="21"/>
    </row>
    <row r="86" spans="1:6" ht="12.75">
      <c r="A86" s="21"/>
      <c r="B86" s="21"/>
      <c r="C86" s="21"/>
      <c r="D86" s="21"/>
      <c r="E86" s="21"/>
      <c r="F86" s="21"/>
    </row>
    <row r="87" spans="1:6" ht="12.75">
      <c r="A87" s="23">
        <v>526</v>
      </c>
      <c r="B87" s="23" t="s">
        <v>36</v>
      </c>
      <c r="C87" s="23"/>
      <c r="D87" s="23"/>
      <c r="E87" s="23"/>
      <c r="F87" s="23">
        <f>SUM(E88:E88)</f>
        <v>3000</v>
      </c>
    </row>
    <row r="88" spans="1:6" ht="12.75">
      <c r="A88" s="21"/>
      <c r="B88" s="21" t="s">
        <v>364</v>
      </c>
      <c r="C88" s="21"/>
      <c r="D88" s="21"/>
      <c r="E88" s="21">
        <v>3000</v>
      </c>
      <c r="F88" s="21"/>
    </row>
    <row r="89" spans="1:6" ht="12.75">
      <c r="A89" s="21"/>
      <c r="B89" s="21" t="s">
        <v>7</v>
      </c>
      <c r="C89" s="21"/>
      <c r="D89" s="21"/>
      <c r="E89" s="21"/>
      <c r="F89" s="21"/>
    </row>
    <row r="90" spans="1:6" s="53" customFormat="1" ht="12.75">
      <c r="A90" s="23">
        <v>529</v>
      </c>
      <c r="B90" s="23" t="s">
        <v>317</v>
      </c>
      <c r="C90" s="23"/>
      <c r="D90" s="23"/>
      <c r="E90" s="23"/>
      <c r="F90" s="23">
        <f>SUM(E91:E91)</f>
        <v>50</v>
      </c>
    </row>
    <row r="91" spans="1:6" ht="12.75">
      <c r="A91" s="21"/>
      <c r="B91" s="21" t="s">
        <v>365</v>
      </c>
      <c r="C91" s="21"/>
      <c r="D91" s="21"/>
      <c r="E91" s="21">
        <v>50</v>
      </c>
      <c r="F91" s="21"/>
    </row>
    <row r="92" spans="1:6" ht="12.75">
      <c r="A92" s="21"/>
      <c r="B92" s="21"/>
      <c r="C92" s="21"/>
      <c r="D92" s="21"/>
      <c r="E92" s="21"/>
      <c r="F92" s="21"/>
    </row>
    <row r="93" spans="1:6" s="53" customFormat="1" ht="12.75">
      <c r="A93" s="23">
        <v>532</v>
      </c>
      <c r="B93" s="23" t="s">
        <v>264</v>
      </c>
      <c r="C93" s="23"/>
      <c r="D93" s="23"/>
      <c r="E93" s="23"/>
      <c r="F93" s="23">
        <f>SUM(E94:E94)</f>
        <v>40000</v>
      </c>
    </row>
    <row r="94" spans="1:6" ht="12.75">
      <c r="A94" s="21"/>
      <c r="B94" s="21" t="s">
        <v>327</v>
      </c>
      <c r="C94" s="21"/>
      <c r="D94" s="21"/>
      <c r="E94" s="21">
        <v>40000</v>
      </c>
      <c r="F94" s="21"/>
    </row>
    <row r="95" spans="1:6" ht="12.75">
      <c r="A95" s="21"/>
      <c r="B95" s="21"/>
      <c r="C95" s="21"/>
      <c r="D95" s="21"/>
      <c r="E95" s="21"/>
      <c r="F95" s="21"/>
    </row>
    <row r="96" spans="1:6" s="53" customFormat="1" ht="12.75">
      <c r="A96" s="23">
        <v>553</v>
      </c>
      <c r="B96" s="23" t="s">
        <v>277</v>
      </c>
      <c r="C96" s="23"/>
      <c r="D96" s="23"/>
      <c r="E96" s="23"/>
      <c r="F96" s="23">
        <f>SUM(E97:E97)</f>
        <v>0</v>
      </c>
    </row>
    <row r="97" spans="1:6" ht="12.75">
      <c r="A97" s="21"/>
      <c r="B97" s="21" t="s">
        <v>7</v>
      </c>
      <c r="C97" s="21"/>
      <c r="D97" s="21" t="s">
        <v>7</v>
      </c>
      <c r="E97" s="21">
        <v>0</v>
      </c>
      <c r="F97" s="21"/>
    </row>
    <row r="98" spans="1:6" ht="12.75">
      <c r="A98" s="23">
        <v>554</v>
      </c>
      <c r="B98" s="23" t="s">
        <v>594</v>
      </c>
      <c r="C98" s="21"/>
      <c r="D98" s="21"/>
      <c r="E98" s="21" t="s">
        <v>7</v>
      </c>
      <c r="F98" s="23" t="s">
        <v>7</v>
      </c>
    </row>
    <row r="99" spans="1:6" ht="12.75">
      <c r="A99" s="21"/>
      <c r="B99" s="21"/>
      <c r="C99" s="21"/>
      <c r="D99" s="21"/>
      <c r="E99" s="21"/>
      <c r="F99" s="21">
        <v>0</v>
      </c>
    </row>
    <row r="100" spans="1:6" ht="12.75">
      <c r="A100" s="21"/>
      <c r="B100" s="21"/>
      <c r="C100" s="21"/>
      <c r="D100" s="21"/>
      <c r="E100" s="21">
        <v>0</v>
      </c>
      <c r="F100" s="21"/>
    </row>
    <row r="101" spans="1:6" ht="12.75">
      <c r="A101" s="21"/>
      <c r="B101" s="21"/>
      <c r="C101" s="21"/>
      <c r="D101" s="21"/>
      <c r="E101" s="21"/>
      <c r="F101" s="21"/>
    </row>
    <row r="102" spans="1:6" s="53" customFormat="1" ht="12.75">
      <c r="A102" s="23">
        <v>561</v>
      </c>
      <c r="B102" s="23" t="s">
        <v>265</v>
      </c>
      <c r="C102" s="23"/>
      <c r="D102" s="23"/>
      <c r="E102" s="23" t="s">
        <v>7</v>
      </c>
      <c r="F102" s="23">
        <f>+E103+E104</f>
        <v>60000</v>
      </c>
    </row>
    <row r="103" spans="1:6" ht="12.75">
      <c r="A103" s="21"/>
      <c r="B103" s="21"/>
      <c r="C103" s="21"/>
      <c r="D103" s="21"/>
      <c r="E103" s="21">
        <v>0</v>
      </c>
      <c r="F103" s="21"/>
    </row>
    <row r="104" spans="1:6" ht="12.75">
      <c r="A104" s="21"/>
      <c r="B104" s="21" t="s">
        <v>366</v>
      </c>
      <c r="C104" s="21"/>
      <c r="D104" s="21"/>
      <c r="E104" s="21">
        <v>60000</v>
      </c>
      <c r="F104" s="21"/>
    </row>
    <row r="105" spans="1:6" ht="12.75">
      <c r="A105" s="21"/>
      <c r="B105" s="21" t="s">
        <v>7</v>
      </c>
      <c r="C105" s="21"/>
      <c r="D105" s="21"/>
      <c r="E105" s="21" t="s">
        <v>7</v>
      </c>
      <c r="F105" s="21"/>
    </row>
    <row r="106" spans="1:6" ht="12.75">
      <c r="A106" s="21"/>
      <c r="B106" s="21"/>
      <c r="C106" s="21"/>
      <c r="D106" s="21"/>
      <c r="E106" s="21"/>
      <c r="F106" s="21"/>
    </row>
    <row r="107" spans="1:6" s="53" customFormat="1" ht="12.75">
      <c r="A107" s="23">
        <v>562</v>
      </c>
      <c r="B107" s="23" t="s">
        <v>195</v>
      </c>
      <c r="C107" s="23"/>
      <c r="D107" s="23"/>
      <c r="E107" s="23"/>
      <c r="F107" s="23">
        <f>SUM(E108:E108)</f>
        <v>21000</v>
      </c>
    </row>
    <row r="108" spans="1:6" ht="12.75">
      <c r="A108" s="21"/>
      <c r="B108" s="21" t="s">
        <v>367</v>
      </c>
      <c r="C108" s="21"/>
      <c r="D108" s="21"/>
      <c r="E108" s="21">
        <v>21000</v>
      </c>
      <c r="F108" s="21"/>
    </row>
    <row r="109" spans="1:6" ht="12.75">
      <c r="A109" s="21"/>
      <c r="B109" s="21"/>
      <c r="C109" s="21"/>
      <c r="D109" s="21"/>
      <c r="E109" s="21"/>
      <c r="F109" s="21"/>
    </row>
    <row r="110" spans="1:6" s="53" customFormat="1" ht="12.75">
      <c r="A110" s="23">
        <v>563</v>
      </c>
      <c r="B110" s="23" t="s">
        <v>359</v>
      </c>
      <c r="C110" s="23"/>
      <c r="D110" s="23"/>
      <c r="E110" s="23"/>
      <c r="F110" s="23">
        <f>SUM(E111:E112)</f>
        <v>8500</v>
      </c>
    </row>
    <row r="111" spans="1:6" ht="12.75">
      <c r="A111" s="21"/>
      <c r="B111" s="21" t="s">
        <v>7</v>
      </c>
      <c r="C111" s="21"/>
      <c r="D111" s="21"/>
      <c r="E111" s="21">
        <v>8500</v>
      </c>
      <c r="F111" s="21"/>
    </row>
    <row r="112" spans="1:6" ht="12.75">
      <c r="A112" s="21"/>
      <c r="B112" s="21" t="s">
        <v>584</v>
      </c>
      <c r="C112" s="21"/>
      <c r="D112" s="21"/>
      <c r="E112" s="21" t="s">
        <v>7</v>
      </c>
      <c r="F112" s="21">
        <v>0</v>
      </c>
    </row>
    <row r="113" spans="1:6" ht="12.75">
      <c r="A113" s="21"/>
      <c r="B113" s="21" t="s">
        <v>10</v>
      </c>
      <c r="C113" s="21"/>
      <c r="D113" s="21"/>
      <c r="E113" s="21"/>
      <c r="F113" s="21">
        <f>SUM(F51:F112)</f>
        <v>183058</v>
      </c>
    </row>
    <row r="115" spans="1:6" ht="12.75">
      <c r="A115" s="21" t="s">
        <v>7</v>
      </c>
      <c r="B115" s="21"/>
      <c r="C115" s="21"/>
      <c r="D115" s="21"/>
      <c r="E115" s="21"/>
      <c r="F115" s="2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r:id="rId1"/>
  <headerFooter alignWithMargins="0">
    <oddFooter>&amp;CPage &amp;P&amp;RSEWER
</oddFooter>
  </headerFooter>
  <rowBreaks count="1" manualBreakCount="1">
    <brk id="43" max="6" man="1"/>
  </rowBreaks>
  <colBreaks count="1" manualBreakCount="1">
    <brk id="6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1"/>
  <sheetViews>
    <sheetView showGridLines="0" zoomScalePageLayoutView="0" workbookViewId="0" topLeftCell="A1">
      <pane xSplit="1" ySplit="4" topLeftCell="B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2" sqref="A2"/>
    </sheetView>
  </sheetViews>
  <sheetFormatPr defaultColWidth="27.50390625" defaultRowHeight="12.75"/>
  <cols>
    <col min="1" max="1" width="27.50390625" style="4" customWidth="1"/>
    <col min="2" max="2" width="13.75390625" style="4" customWidth="1"/>
    <col min="3" max="3" width="9.875" style="4" customWidth="1"/>
    <col min="4" max="5" width="9.25390625" style="4" customWidth="1"/>
    <col min="6" max="6" width="7.50390625" style="4" customWidth="1"/>
    <col min="7" max="8" width="8.875" style="4" customWidth="1"/>
    <col min="9" max="9" width="8.625" style="4" customWidth="1"/>
    <col min="10" max="11" width="10.125" style="4" bestFit="1" customWidth="1"/>
    <col min="12" max="12" width="10.375" style="4" customWidth="1"/>
    <col min="13" max="13" width="10.125" style="4" customWidth="1"/>
    <col min="14" max="14" width="11.50390625" style="4" customWidth="1"/>
    <col min="15" max="15" width="15.375" style="4" customWidth="1"/>
    <col min="16" max="16" width="27.50390625" style="9" customWidth="1"/>
    <col min="17" max="16384" width="27.50390625" style="4" customWidth="1"/>
  </cols>
  <sheetData>
    <row r="1" ht="12.75">
      <c r="A1" s="8" t="s">
        <v>267</v>
      </c>
    </row>
    <row r="2" ht="12.75">
      <c r="A2" s="10" t="s">
        <v>255</v>
      </c>
    </row>
    <row r="4" spans="2:15" ht="12.75">
      <c r="B4" s="7" t="s">
        <v>59</v>
      </c>
      <c r="C4" s="11" t="s">
        <v>64</v>
      </c>
      <c r="D4" s="11" t="s">
        <v>97</v>
      </c>
      <c r="E4" s="11" t="s">
        <v>100</v>
      </c>
      <c r="F4" s="4" t="s">
        <v>111</v>
      </c>
      <c r="G4" s="11" t="s">
        <v>96</v>
      </c>
      <c r="H4" s="11" t="s">
        <v>97</v>
      </c>
      <c r="I4" s="11" t="s">
        <v>196</v>
      </c>
      <c r="J4" s="11" t="s">
        <v>188</v>
      </c>
      <c r="K4" s="11" t="s">
        <v>101</v>
      </c>
      <c r="L4" s="11" t="s">
        <v>62</v>
      </c>
      <c r="M4" s="12" t="s">
        <v>63</v>
      </c>
      <c r="N4" s="4" t="s">
        <v>103</v>
      </c>
      <c r="O4" s="4" t="s">
        <v>30</v>
      </c>
    </row>
    <row r="5" spans="2:14" ht="12.75">
      <c r="B5" s="11"/>
      <c r="C5" s="11"/>
      <c r="D5" s="11" t="s">
        <v>99</v>
      </c>
      <c r="E5" s="11" t="s">
        <v>99</v>
      </c>
      <c r="F5" s="11"/>
      <c r="G5" s="11"/>
      <c r="H5" s="11" t="s">
        <v>98</v>
      </c>
      <c r="I5" s="11"/>
      <c r="J5" s="11"/>
      <c r="K5" s="11" t="s">
        <v>102</v>
      </c>
      <c r="L5" s="11"/>
      <c r="M5" s="12"/>
      <c r="N5" s="4" t="s">
        <v>65</v>
      </c>
    </row>
    <row r="6" spans="2:16" ht="12.75">
      <c r="B6" s="13"/>
      <c r="L6" s="12"/>
      <c r="M6" s="12"/>
      <c r="P6" s="9" t="s">
        <v>241</v>
      </c>
    </row>
    <row r="7" spans="1:16" ht="12.75">
      <c r="A7" s="8" t="s">
        <v>66</v>
      </c>
      <c r="B7" s="14" t="e">
        <f>GENERAL!#REF!</f>
        <v>#REF!</v>
      </c>
      <c r="C7" s="14">
        <f>STREET!C32</f>
        <v>169823.78</v>
      </c>
      <c r="D7" s="14">
        <f>'COMMUNITY IMPROVEMENT'!C27</f>
        <v>50110</v>
      </c>
      <c r="E7" s="14" t="e">
        <f>'ELECTRIC PLANT'!#REF!</f>
        <v>#REF!</v>
      </c>
      <c r="F7" s="14" t="e">
        <f>+'HOUSING AUTHORITY'!#REF!</f>
        <v>#REF!</v>
      </c>
      <c r="G7" s="14" t="e">
        <f>KENO!#REF!</f>
        <v>#REF!</v>
      </c>
      <c r="H7" s="14">
        <f>'COMMUNITY DEVELOPMENT'!C20</f>
        <v>5522</v>
      </c>
      <c r="I7" s="14" t="e">
        <f>+POOL!#REF!</f>
        <v>#REF!</v>
      </c>
      <c r="J7" s="14" t="e">
        <f>+HANDIBUS!#REF!+HANDIBUS!#REF!</f>
        <v>#REF!</v>
      </c>
      <c r="K7" s="14">
        <f>'DEBT SERVICE'!C24</f>
        <v>19435</v>
      </c>
      <c r="L7" s="14" t="e">
        <f>WATER!#REF!</f>
        <v>#REF!</v>
      </c>
      <c r="M7" s="14" t="e">
        <f>SEWER!#REF!</f>
        <v>#REF!</v>
      </c>
      <c r="N7" s="14" t="e">
        <f>+'SOLID WASTE-TRANSFER'!#REF!</f>
        <v>#REF!</v>
      </c>
      <c r="O7" s="14" t="e">
        <f>SUM(B7:N7)</f>
        <v>#REF!</v>
      </c>
      <c r="P7" s="9">
        <v>2652753</v>
      </c>
    </row>
    <row r="8" spans="1:16" ht="12.75">
      <c r="A8" s="8"/>
      <c r="B8" s="14"/>
      <c r="C8" s="14"/>
      <c r="D8" s="14"/>
      <c r="E8" s="14"/>
      <c r="F8" s="14"/>
      <c r="G8" s="14"/>
      <c r="H8" s="14"/>
      <c r="I8" s="14"/>
      <c r="J8" s="14"/>
      <c r="L8" s="14"/>
      <c r="M8" s="14"/>
      <c r="N8" s="14"/>
      <c r="O8" s="14"/>
      <c r="P8" s="9" t="e">
        <f>+O7-P7</f>
        <v>#REF!</v>
      </c>
    </row>
    <row r="9" spans="1:2" ht="12.75">
      <c r="A9" s="8" t="s">
        <v>13</v>
      </c>
      <c r="B9" s="3"/>
    </row>
    <row r="10" spans="1:15" ht="12.75">
      <c r="A10" s="4" t="s">
        <v>67</v>
      </c>
      <c r="B10" s="4">
        <f>GENERAL!C42</f>
        <v>268181.77</v>
      </c>
      <c r="C10" s="4" t="e">
        <f>STREET!#REF!</f>
        <v>#REF!</v>
      </c>
      <c r="K10" s="4">
        <f>'DEBT SERVICE'!C30</f>
        <v>226069</v>
      </c>
      <c r="O10" s="4" t="e">
        <f aca="true" t="shared" si="0" ref="O10:O32">SUM(B10:N10)</f>
        <v>#REF!</v>
      </c>
    </row>
    <row r="11" spans="1:15" ht="12.75">
      <c r="A11" s="8" t="s">
        <v>68</v>
      </c>
      <c r="B11" s="4">
        <f>GENERAL!C35</f>
        <v>26140.61</v>
      </c>
      <c r="O11" s="4">
        <f t="shared" si="0"/>
        <v>26140.61</v>
      </c>
    </row>
    <row r="12" spans="1:15" ht="12.75">
      <c r="A12" s="8" t="s">
        <v>69</v>
      </c>
      <c r="C12" s="4">
        <f>STREET!C39</f>
        <v>0</v>
      </c>
      <c r="O12" s="4">
        <f t="shared" si="0"/>
        <v>0</v>
      </c>
    </row>
    <row r="13" spans="1:15" ht="12.75">
      <c r="A13" s="4" t="s">
        <v>70</v>
      </c>
      <c r="B13" s="4">
        <f>GENERAL!C26+GENERAL!C36</f>
        <v>5704</v>
      </c>
      <c r="O13" s="4">
        <f t="shared" si="0"/>
        <v>5704</v>
      </c>
    </row>
    <row r="14" spans="1:15" ht="12.75">
      <c r="A14" s="8" t="s">
        <v>71</v>
      </c>
      <c r="B14" s="4">
        <f>GENERAL!C31</f>
        <v>90300.44</v>
      </c>
      <c r="O14" s="4">
        <f t="shared" si="0"/>
        <v>90300.44</v>
      </c>
    </row>
    <row r="15" spans="1:15" ht="12.75">
      <c r="A15" s="8" t="s">
        <v>72</v>
      </c>
      <c r="C15" s="4">
        <f>STREET!C34</f>
        <v>26140.61</v>
      </c>
      <c r="O15" s="4">
        <f t="shared" si="0"/>
        <v>26140.61</v>
      </c>
    </row>
    <row r="16" spans="1:15" ht="12.75">
      <c r="A16" s="4" t="s">
        <v>73</v>
      </c>
      <c r="B16" s="4">
        <f>GENERAL!C33</f>
        <v>699</v>
      </c>
      <c r="K16" s="4">
        <f>'DEBT SERVICE'!C26</f>
        <v>857</v>
      </c>
      <c r="O16" s="4">
        <f t="shared" si="0"/>
        <v>1556</v>
      </c>
    </row>
    <row r="17" spans="1:15" ht="12.75">
      <c r="A17" s="8" t="s">
        <v>74</v>
      </c>
      <c r="B17" s="4" t="str">
        <f>GENERAL!C34</f>
        <v>xxxxxxxx</v>
      </c>
      <c r="K17" s="4">
        <f>'DEBT SERVICE'!C29</f>
        <v>14454</v>
      </c>
      <c r="O17" s="4">
        <f t="shared" si="0"/>
        <v>14454</v>
      </c>
    </row>
    <row r="18" spans="1:15" ht="12.75">
      <c r="A18" s="8" t="s">
        <v>208</v>
      </c>
      <c r="B18" s="4" t="e">
        <f>GENERAL!#REF!</f>
        <v>#REF!</v>
      </c>
      <c r="K18" s="4">
        <f>'DEBT SERVICE'!C25</f>
        <v>15372</v>
      </c>
      <c r="O18" s="4" t="e">
        <f t="shared" si="0"/>
        <v>#REF!</v>
      </c>
    </row>
    <row r="19" spans="1:15" ht="12.75">
      <c r="A19" s="8" t="s">
        <v>104</v>
      </c>
      <c r="C19" s="4">
        <f>STREET!C41</f>
        <v>0</v>
      </c>
      <c r="O19" s="4">
        <f t="shared" si="0"/>
        <v>0</v>
      </c>
    </row>
    <row r="20" spans="1:15" ht="12.75">
      <c r="A20" s="8" t="s">
        <v>189</v>
      </c>
      <c r="L20" s="4">
        <f>+WATER!C33</f>
        <v>0</v>
      </c>
      <c r="M20" s="4">
        <f>+SEWER!C36</f>
        <v>181168.33</v>
      </c>
      <c r="O20" s="4">
        <f t="shared" si="0"/>
        <v>181168.33</v>
      </c>
    </row>
    <row r="21" spans="1:15" ht="12.75">
      <c r="A21" s="4" t="s">
        <v>190</v>
      </c>
      <c r="B21" s="4" t="e">
        <f>GENERAL!#REF!</f>
        <v>#REF!</v>
      </c>
      <c r="C21" s="4" t="e">
        <f>+STREET!#REF!</f>
        <v>#REF!</v>
      </c>
      <c r="D21" s="4">
        <f>'COMMUNITY IMPROVEMENT'!C28</f>
        <v>120889</v>
      </c>
      <c r="L21" s="4" t="e">
        <f>WATER!#REF!</f>
        <v>#REF!</v>
      </c>
      <c r="M21" s="4" t="e">
        <f>+SEWER!#REF!</f>
        <v>#REF!</v>
      </c>
      <c r="O21" s="4" t="e">
        <f t="shared" si="0"/>
        <v>#REF!</v>
      </c>
    </row>
    <row r="22" spans="1:15" ht="12.75">
      <c r="A22" s="4" t="s">
        <v>75</v>
      </c>
      <c r="O22" s="4">
        <f t="shared" si="0"/>
        <v>0</v>
      </c>
    </row>
    <row r="23" spans="1:15" ht="12.75">
      <c r="A23" s="8" t="s">
        <v>76</v>
      </c>
      <c r="B23" s="4">
        <f>GENERAL!C32</f>
        <v>10136.03</v>
      </c>
      <c r="O23" s="4">
        <f t="shared" si="0"/>
        <v>10136.03</v>
      </c>
    </row>
    <row r="24" spans="1:15" ht="12.75">
      <c r="A24" s="4" t="s">
        <v>77</v>
      </c>
      <c r="E24" s="4">
        <f>'ELECTRIC PLANT'!C53</f>
        <v>0</v>
      </c>
      <c r="O24" s="4">
        <f t="shared" si="0"/>
        <v>0</v>
      </c>
    </row>
    <row r="25" spans="1:15" ht="12.75">
      <c r="A25" s="8" t="s">
        <v>78</v>
      </c>
      <c r="C25" s="4">
        <f>STREET!C37</f>
        <v>0</v>
      </c>
      <c r="O25" s="4">
        <f t="shared" si="0"/>
        <v>0</v>
      </c>
    </row>
    <row r="26" spans="1:15" ht="12.75">
      <c r="A26" s="4" t="s">
        <v>79</v>
      </c>
      <c r="B26" s="4">
        <f>GENERAL!C37</f>
        <v>705</v>
      </c>
      <c r="C26" s="4" t="e">
        <f>STREET!#REF!</f>
        <v>#REF!</v>
      </c>
      <c r="D26" s="4">
        <f>'COMMUNITY IMPROVEMENT'!C29</f>
        <v>1862</v>
      </c>
      <c r="E26" s="4" t="e">
        <f>'ELECTRIC PLANT'!#REF!</f>
        <v>#REF!</v>
      </c>
      <c r="G26" s="4" t="e">
        <f>+KENO!#REF!</f>
        <v>#REF!</v>
      </c>
      <c r="I26" s="4" t="e">
        <f>+POOL!#REF!</f>
        <v>#REF!</v>
      </c>
      <c r="K26" s="4">
        <f>'DEBT SERVICE'!C28</f>
        <v>523</v>
      </c>
      <c r="L26" s="4">
        <f>WATER!C36</f>
        <v>0</v>
      </c>
      <c r="M26" s="4" t="e">
        <f>SEWER!#REF!</f>
        <v>#REF!</v>
      </c>
      <c r="N26" s="4">
        <f>+'SOLID WASTE-TRANSFER'!C33</f>
        <v>0</v>
      </c>
      <c r="O26" s="4" t="e">
        <f t="shared" si="0"/>
        <v>#REF!</v>
      </c>
    </row>
    <row r="27" spans="1:15" ht="12.75">
      <c r="A27" s="8" t="s">
        <v>80</v>
      </c>
      <c r="B27" s="4" t="e">
        <f>GENERAL!#REF!+GENERAL!#REF!+GENERAL!#REF!</f>
        <v>#REF!</v>
      </c>
      <c r="L27" s="4">
        <f>WATER!C34+WATER!C35</f>
        <v>205834.1</v>
      </c>
      <c r="M27" s="4" t="e">
        <f>SEWER!#REF!+SEWER!#REF!</f>
        <v>#REF!</v>
      </c>
      <c r="N27" s="4">
        <f>SUM('SOLID WASTE-TRANSFER'!C34:C35)</f>
        <v>446770.72</v>
      </c>
      <c r="O27" s="4" t="e">
        <f t="shared" si="0"/>
        <v>#REF!</v>
      </c>
    </row>
    <row r="28" spans="1:15" ht="12.75">
      <c r="A28" s="4" t="s">
        <v>81</v>
      </c>
      <c r="B28" s="4">
        <f>GENERAL!C45</f>
        <v>0</v>
      </c>
      <c r="C28" s="4" t="e">
        <f>STREET!#REF!</f>
        <v>#REF!</v>
      </c>
      <c r="L28" s="4" t="e">
        <f>+WATER!#REF!</f>
        <v>#REF!</v>
      </c>
      <c r="N28" s="4" t="e">
        <f>SUM('SOLID WASTE-TRANSFER'!#REF!)</f>
        <v>#REF!</v>
      </c>
      <c r="O28" s="4" t="e">
        <f t="shared" si="0"/>
        <v>#REF!</v>
      </c>
    </row>
    <row r="29" spans="1:15" ht="12.75">
      <c r="A29" s="4" t="s">
        <v>106</v>
      </c>
      <c r="F29" s="4" t="e">
        <f>'HOUSING AUTHORITY'!#REF!</f>
        <v>#REF!</v>
      </c>
      <c r="H29" s="4">
        <f>'COMMUNITY DEVELOPMENT'!C21</f>
        <v>64</v>
      </c>
      <c r="J29" s="4" t="e">
        <f>+HANDIBUS!#REF!</f>
        <v>#REF!</v>
      </c>
      <c r="N29" s="4">
        <f>+'SOLID WASTE-TRANSFER'!C38</f>
        <v>0</v>
      </c>
      <c r="O29" s="4" t="e">
        <f t="shared" si="0"/>
        <v>#REF!</v>
      </c>
    </row>
    <row r="30" spans="1:15" ht="12.75">
      <c r="A30" s="4" t="s">
        <v>105</v>
      </c>
      <c r="O30" s="4">
        <f t="shared" si="0"/>
        <v>0</v>
      </c>
    </row>
    <row r="31" spans="1:15" ht="12.75">
      <c r="A31" s="4" t="s">
        <v>82</v>
      </c>
      <c r="B31" s="4">
        <f>+GENERAL!C41</f>
        <v>8841</v>
      </c>
      <c r="C31" s="4" t="e">
        <f>+STREET!#REF!</f>
        <v>#REF!</v>
      </c>
      <c r="D31" s="4">
        <f>+'COMMUNITY IMPROVEMENT'!C30</f>
        <v>0</v>
      </c>
      <c r="N31" s="4" t="e">
        <f>+'SOLID WASTE-TRANSFER'!#REF!</f>
        <v>#REF!</v>
      </c>
      <c r="O31" s="4" t="e">
        <f t="shared" si="0"/>
        <v>#REF!</v>
      </c>
    </row>
    <row r="32" spans="1:15" ht="12.75">
      <c r="A32" s="4" t="s">
        <v>83</v>
      </c>
      <c r="B32" s="4" t="e">
        <f>GENERAL!#REF!+GENERAL!#REF!+GENERAL!#REF!+GENERAL!#REF!+GENERAL!#REF!+GENERAL!C38+GENERAL!C39+GENERAL!C40+GENERAL!C43+GENERAL!C44</f>
        <v>#REF!</v>
      </c>
      <c r="C32" s="14">
        <f>STREET!C35+STREET!C36</f>
        <v>719.75</v>
      </c>
      <c r="D32" s="14">
        <f>+'COMMUNITY IMPROVEMENT'!C31+'COMMUNITY IMPROVEMENT'!C32</f>
        <v>0</v>
      </c>
      <c r="E32" s="14"/>
      <c r="F32" s="14"/>
      <c r="G32" s="14" t="e">
        <f>+KENO!#REF!</f>
        <v>#REF!</v>
      </c>
      <c r="H32" s="14"/>
      <c r="I32" s="14" t="e">
        <f>+POOL!C33+POOL!#REF!+POOL!C34+POOL!#REF!</f>
        <v>#REF!</v>
      </c>
      <c r="J32" s="14" t="e">
        <f>+HANDIBUS!#REF!+HANDIBUS!#REF!+HANDIBUS!#REF!+HANDIBUS!C31</f>
        <v>#REF!</v>
      </c>
      <c r="K32" s="14">
        <f>'DEBT SERVICE'!C27</f>
        <v>0</v>
      </c>
      <c r="L32" s="14" t="e">
        <f>WATER!C32+WATER!#REF!</f>
        <v>#REF!</v>
      </c>
      <c r="M32" s="14" t="e">
        <f>SEWER!C34+SEWER!#REF!</f>
        <v>#REF!</v>
      </c>
      <c r="N32" s="14" t="e">
        <f>+'SOLID WASTE-TRANSFER'!#REF!</f>
        <v>#REF!</v>
      </c>
      <c r="O32" s="14" t="e">
        <f t="shared" si="0"/>
        <v>#REF!</v>
      </c>
    </row>
    <row r="33" spans="1:16" ht="12.75">
      <c r="A33" s="8" t="s">
        <v>84</v>
      </c>
      <c r="B33" s="15" t="e">
        <f aca="true" t="shared" si="1" ref="B33:N33">SUM(B10:B32)</f>
        <v>#REF!</v>
      </c>
      <c r="C33" s="15" t="e">
        <f t="shared" si="1"/>
        <v>#REF!</v>
      </c>
      <c r="D33" s="15">
        <f t="shared" si="1"/>
        <v>122751</v>
      </c>
      <c r="E33" s="15" t="e">
        <f t="shared" si="1"/>
        <v>#REF!</v>
      </c>
      <c r="F33" s="15" t="e">
        <f t="shared" si="1"/>
        <v>#REF!</v>
      </c>
      <c r="G33" s="15" t="e">
        <f t="shared" si="1"/>
        <v>#REF!</v>
      </c>
      <c r="H33" s="15">
        <f t="shared" si="1"/>
        <v>64</v>
      </c>
      <c r="I33" s="15" t="e">
        <f>SUM(I10:I32)</f>
        <v>#REF!</v>
      </c>
      <c r="J33" s="15" t="e">
        <f>SUM(J10:J32)</f>
        <v>#REF!</v>
      </c>
      <c r="K33" s="15">
        <f t="shared" si="1"/>
        <v>257275</v>
      </c>
      <c r="L33" s="15" t="e">
        <f t="shared" si="1"/>
        <v>#REF!</v>
      </c>
      <c r="M33" s="15" t="e">
        <f t="shared" si="1"/>
        <v>#REF!</v>
      </c>
      <c r="N33" s="15" t="e">
        <f t="shared" si="1"/>
        <v>#REF!</v>
      </c>
      <c r="O33" s="14" t="e">
        <f>SUM(O10:O32)</f>
        <v>#REF!</v>
      </c>
      <c r="P33" s="9" t="e">
        <f>SUM(B33:N33)</f>
        <v>#REF!</v>
      </c>
    </row>
    <row r="35" spans="1:2" ht="12.75">
      <c r="A35" s="8" t="s">
        <v>4</v>
      </c>
      <c r="B35" s="3"/>
    </row>
    <row r="36" spans="1:15" ht="12.75">
      <c r="A36" s="4" t="s">
        <v>85</v>
      </c>
      <c r="B36" s="4" t="e">
        <f>J53</f>
        <v>#REF!</v>
      </c>
      <c r="C36" s="16">
        <f>STREET!C10+STREET!C11+STREET!C12+STREET!C13</f>
        <v>68016.97</v>
      </c>
      <c r="L36" s="4">
        <f>WATER!C10+WATER!C11++WATER!C12+WATER!C13</f>
        <v>41120.869999999995</v>
      </c>
      <c r="M36" s="4">
        <f>SEWER!C9+SEWER!C10+SEWER!C11+SEWER!C13</f>
        <v>39855.4</v>
      </c>
      <c r="N36" s="4">
        <f>+'SOLID WASTE-TRANSFER'!C9+'SOLID WASTE-TRANSFER'!C10+'SOLID WASTE-TRANSFER'!C11+'SOLID WASTE-TRANSFER'!C12</f>
        <v>41171.32</v>
      </c>
      <c r="O36" s="4" t="e">
        <f aca="true" t="shared" si="2" ref="O36:O44">SUM(B36:N36)</f>
        <v>#REF!</v>
      </c>
    </row>
    <row r="37" spans="1:15" ht="12.75">
      <c r="A37" s="8" t="s">
        <v>86</v>
      </c>
      <c r="B37" s="4" t="e">
        <f>J54</f>
        <v>#REF!</v>
      </c>
      <c r="C37" s="16" t="e">
        <f>STREET!C14+STREET!C15+STREET!C16+STREET!C17+STREET!C18+STREET!C19+STREET!C20+STREET!#REF!+STREET!#REF!</f>
        <v>#REF!</v>
      </c>
      <c r="G37" s="4" t="e">
        <f>KENO!C10+KENO!#REF!</f>
        <v>#REF!</v>
      </c>
      <c r="H37" s="4">
        <f>SUM('COMMUNITY DEVELOPMENT'!C11:C11)</f>
        <v>0</v>
      </c>
      <c r="I37" s="4">
        <f>+POOL!C11+POOL!C12</f>
        <v>21044.59</v>
      </c>
      <c r="J37" s="4">
        <f>+HANDIBUS!C11+HANDIBUS!C12+HANDIBUS!C13+HANDIBUS!C15+HANDIBUS!C17</f>
        <v>1855.08</v>
      </c>
      <c r="L37" s="4" t="e">
        <f>WATER!C14+WATER!C15+WATER!C16+WATER!C17+WATER!C18+WATER!C19+WATER!C20+WATER!C21+WATER!C22+WATER!C23+WATER!#REF!+WATER!C24+WATER!C25</f>
        <v>#REF!</v>
      </c>
      <c r="M37" s="4" t="e">
        <f>SEWER!C14+SEWER!C15+SEWER!C16+SEWER!C17+SEWER!C18+SEWER!C19+SEWER!C20+SEWER!C21+SEWER!C23+SEWER!C24+SEWER!C25+SEWER!#REF!</f>
        <v>#REF!</v>
      </c>
      <c r="N37" s="4">
        <f>+'SOLID WASTE-TRANSFER'!C13+'SOLID WASTE-TRANSFER'!C14+'SOLID WASTE-TRANSFER'!C15+'SOLID WASTE-TRANSFER'!C16+'SOLID WASTE-TRANSFER'!C17+'SOLID WASTE-TRANSFER'!C18+'SOLID WASTE-TRANSFER'!C19+'SOLID WASTE-TRANSFER'!C20+'SOLID WASTE-TRANSFER'!C23+'SOLID WASTE-TRANSFER'!C24</f>
        <v>306007.48</v>
      </c>
      <c r="O37" s="4" t="e">
        <f t="shared" si="2"/>
        <v>#REF!</v>
      </c>
    </row>
    <row r="38" spans="1:15" ht="12.75">
      <c r="A38" s="4" t="s">
        <v>87</v>
      </c>
      <c r="B38" s="4" t="e">
        <f>J55+GENERAL!#REF!</f>
        <v>#REF!</v>
      </c>
      <c r="C38" s="16">
        <f>STREET!C23</f>
        <v>24758.38</v>
      </c>
      <c r="E38" s="4">
        <f>SUM('ELECTRIC PLANT'!C9:C11)</f>
        <v>154182.41</v>
      </c>
      <c r="F38" s="4">
        <f>'HOUSING AUTHORITY'!C10</f>
        <v>3523</v>
      </c>
      <c r="G38" s="4" t="e">
        <f>KENO!#REF!+KENO!#REF!</f>
        <v>#REF!</v>
      </c>
      <c r="L38" s="4" t="e">
        <f>WATER!#REF!</f>
        <v>#REF!</v>
      </c>
      <c r="M38" s="4" t="e">
        <f>SEWER!#REF!</f>
        <v>#REF!</v>
      </c>
      <c r="N38" s="4" t="e">
        <f>+'SOLID WASTE-TRANSFER'!#REF!</f>
        <v>#REF!</v>
      </c>
      <c r="O38" s="4" t="e">
        <f t="shared" si="2"/>
        <v>#REF!</v>
      </c>
    </row>
    <row r="39" spans="1:15" ht="12.75">
      <c r="A39" s="4" t="s">
        <v>183</v>
      </c>
      <c r="B39" s="4" t="e">
        <f>J56+GENERAL!#REF!</f>
        <v>#REF!</v>
      </c>
      <c r="C39" s="16">
        <f>+STREET!C21+STREET!C22</f>
        <v>62629.5</v>
      </c>
      <c r="D39" s="4">
        <f>SUM('COMMUNITY IMPROVEMENT'!C13:C19)</f>
        <v>56459</v>
      </c>
      <c r="O39" s="4" t="e">
        <f t="shared" si="2"/>
        <v>#REF!</v>
      </c>
    </row>
    <row r="40" spans="1:15" ht="12.75">
      <c r="A40" s="8" t="s">
        <v>88</v>
      </c>
      <c r="C40" s="16"/>
      <c r="O40" s="4">
        <f t="shared" si="2"/>
        <v>0</v>
      </c>
    </row>
    <row r="41" spans="1:15" ht="12.75">
      <c r="A41" s="4" t="s">
        <v>89</v>
      </c>
      <c r="B41" s="4">
        <f>J58</f>
        <v>0</v>
      </c>
      <c r="C41" s="16">
        <f>+STREET!C24</f>
        <v>719.5</v>
      </c>
      <c r="J41" s="4" t="e">
        <f>+HANDIBUS!#REF!</f>
        <v>#REF!</v>
      </c>
      <c r="K41" s="4">
        <f>'DEBT SERVICE'!C12+'DEBT SERVICE'!C14+'DEBT SERVICE'!C11+'DEBT SERVICE'!C15+'DEBT SERVICE'!C16+'DEBT SERVICE'!C17</f>
        <v>245558</v>
      </c>
      <c r="N41" s="4" t="e">
        <f>+'SOLID WASTE-TRANSFER'!#REF!+'SOLID WASTE-TRANSFER'!#REF!+'SOLID WASTE-TRANSFER'!#REF!</f>
        <v>#REF!</v>
      </c>
      <c r="O41" s="4" t="e">
        <f t="shared" si="2"/>
        <v>#REF!</v>
      </c>
    </row>
    <row r="42" spans="1:15" ht="12.75">
      <c r="A42" s="4" t="s">
        <v>90</v>
      </c>
      <c r="B42" s="4">
        <f>J59</f>
        <v>0</v>
      </c>
      <c r="C42" s="16" t="e">
        <f>+STREET!#REF!</f>
        <v>#REF!</v>
      </c>
      <c r="K42" s="4">
        <f>'DEBT SERVICE'!C13</f>
        <v>0</v>
      </c>
      <c r="M42" s="4" t="e">
        <f>SEWER!#REF!</f>
        <v>#REF!</v>
      </c>
      <c r="N42" s="4" t="e">
        <f>+'SOLID WASTE-TRANSFER'!#REF!</f>
        <v>#REF!</v>
      </c>
      <c r="O42" s="4" t="e">
        <f t="shared" si="2"/>
        <v>#REF!</v>
      </c>
    </row>
    <row r="43" spans="1:15" ht="12.75">
      <c r="A43" s="4" t="s">
        <v>91</v>
      </c>
      <c r="B43" s="4" t="e">
        <f>J60+GENERAL!#REF!+GENERAL!#REF!+GENERAL!#REF!</f>
        <v>#REF!</v>
      </c>
      <c r="C43" s="16"/>
      <c r="J43" s="4">
        <f>+HANDIBUS!C23</f>
        <v>0</v>
      </c>
      <c r="M43" s="4" t="e">
        <f>+SEWER!#REF!</f>
        <v>#REF!</v>
      </c>
      <c r="N43" s="4" t="e">
        <f>+'SOLID WASTE-TRANSFER'!#REF!+'SOLID WASTE-TRANSFER'!#REF!</f>
        <v>#REF!</v>
      </c>
      <c r="O43" s="4" t="e">
        <f t="shared" si="2"/>
        <v>#REF!</v>
      </c>
    </row>
    <row r="44" spans="1:15" ht="12.75">
      <c r="A44" s="4" t="s">
        <v>92</v>
      </c>
      <c r="B44" s="14" t="e">
        <f>GENERAL!#REF!+GENERAL!#REF!+GENERAL!#REF!</f>
        <v>#REF!</v>
      </c>
      <c r="C44" s="17"/>
      <c r="D44" s="14"/>
      <c r="E44" s="14"/>
      <c r="F44" s="14"/>
      <c r="G44" s="14"/>
      <c r="H44" s="14"/>
      <c r="I44" s="14"/>
      <c r="J44" s="14" t="e">
        <f>+HANDIBUS!#REF!</f>
        <v>#REF!</v>
      </c>
      <c r="K44" s="14"/>
      <c r="L44" s="14"/>
      <c r="M44" s="14" t="e">
        <f>SEWER!#REF!</f>
        <v>#REF!</v>
      </c>
      <c r="N44" s="14"/>
      <c r="O44" s="14" t="e">
        <f t="shared" si="2"/>
        <v>#REF!</v>
      </c>
    </row>
    <row r="45" spans="1:16" ht="12.75">
      <c r="A45" s="4" t="s">
        <v>93</v>
      </c>
      <c r="B45" s="15" t="e">
        <f aca="true" t="shared" si="3" ref="B45:M45">SUM(B36:B44)</f>
        <v>#REF!</v>
      </c>
      <c r="C45" s="15" t="e">
        <f t="shared" si="3"/>
        <v>#REF!</v>
      </c>
      <c r="D45" s="15">
        <f t="shared" si="3"/>
        <v>56459</v>
      </c>
      <c r="E45" s="15">
        <f t="shared" si="3"/>
        <v>154182.41</v>
      </c>
      <c r="F45" s="15">
        <f t="shared" si="3"/>
        <v>3523</v>
      </c>
      <c r="G45" s="15" t="e">
        <f t="shared" si="3"/>
        <v>#REF!</v>
      </c>
      <c r="H45" s="15">
        <f t="shared" si="3"/>
        <v>0</v>
      </c>
      <c r="I45" s="15">
        <f>SUM(I37:I44)</f>
        <v>21044.59</v>
      </c>
      <c r="J45" s="15" t="e">
        <f>SUM(J37:J44)</f>
        <v>#REF!</v>
      </c>
      <c r="K45" s="15">
        <f t="shared" si="3"/>
        <v>245558</v>
      </c>
      <c r="L45" s="15" t="e">
        <f t="shared" si="3"/>
        <v>#REF!</v>
      </c>
      <c r="M45" s="15" t="e">
        <f t="shared" si="3"/>
        <v>#REF!</v>
      </c>
      <c r="N45" s="15" t="e">
        <f>SUM(N36:N44)</f>
        <v>#REF!</v>
      </c>
      <c r="O45" s="14" t="e">
        <f>SUM(O36:O44)</f>
        <v>#REF!</v>
      </c>
      <c r="P45" s="9" t="e">
        <f>SUM(B45:N45)</f>
        <v>#REF!</v>
      </c>
    </row>
    <row r="46" spans="2:12" ht="12.75">
      <c r="B46" s="15"/>
      <c r="C46" s="15"/>
      <c r="D46" s="15"/>
      <c r="E46" s="15"/>
      <c r="G46" s="15"/>
      <c r="H46" s="15"/>
      <c r="I46" s="15"/>
      <c r="J46" s="15"/>
      <c r="K46" s="15"/>
      <c r="L46" s="15"/>
    </row>
    <row r="47" spans="1:16" ht="12.75">
      <c r="A47" s="4" t="s">
        <v>94</v>
      </c>
      <c r="B47" s="14" t="e">
        <f>B7+B33-B45</f>
        <v>#REF!</v>
      </c>
      <c r="C47" s="14" t="e">
        <f>C7+C33-C45</f>
        <v>#REF!</v>
      </c>
      <c r="D47" s="14">
        <f>D7+D33-D45</f>
        <v>116402</v>
      </c>
      <c r="E47" s="14" t="e">
        <f>E7+E33-E45</f>
        <v>#REF!</v>
      </c>
      <c r="F47" s="14" t="e">
        <f>F7+F33-F45</f>
        <v>#REF!</v>
      </c>
      <c r="G47" s="14" t="e">
        <f>+G7+G33-G45</f>
        <v>#REF!</v>
      </c>
      <c r="H47" s="14">
        <f aca="true" t="shared" si="4" ref="H47:O47">H7+H33-H45</f>
        <v>5586</v>
      </c>
      <c r="I47" s="14" t="e">
        <f t="shared" si="4"/>
        <v>#REF!</v>
      </c>
      <c r="J47" s="14" t="e">
        <f t="shared" si="4"/>
        <v>#REF!</v>
      </c>
      <c r="K47" s="14">
        <f t="shared" si="4"/>
        <v>31152</v>
      </c>
      <c r="L47" s="14" t="e">
        <f t="shared" si="4"/>
        <v>#REF!</v>
      </c>
      <c r="M47" s="14" t="e">
        <f t="shared" si="4"/>
        <v>#REF!</v>
      </c>
      <c r="N47" s="14" t="e">
        <f t="shared" si="4"/>
        <v>#REF!</v>
      </c>
      <c r="O47" s="14" t="e">
        <f t="shared" si="4"/>
        <v>#REF!</v>
      </c>
      <c r="P47" s="9" t="e">
        <f>SUM(B47:N47)</f>
        <v>#REF!</v>
      </c>
    </row>
    <row r="48" spans="15:16" ht="12.75">
      <c r="O48" s="4">
        <v>3122388</v>
      </c>
      <c r="P48" s="9" t="s">
        <v>241</v>
      </c>
    </row>
    <row r="49" ht="12.75">
      <c r="O49" s="4" t="e">
        <f>+O47-O48</f>
        <v>#REF!</v>
      </c>
    </row>
    <row r="50" ht="12.75">
      <c r="A50" s="8"/>
    </row>
    <row r="51" spans="1:10" ht="12.75">
      <c r="A51" s="8" t="s">
        <v>95</v>
      </c>
      <c r="B51" s="18" t="s">
        <v>180</v>
      </c>
      <c r="C51" s="11" t="s">
        <v>38</v>
      </c>
      <c r="D51" s="11" t="s">
        <v>181</v>
      </c>
      <c r="E51" s="11" t="s">
        <v>61</v>
      </c>
      <c r="F51" s="11"/>
      <c r="G51" s="11" t="s">
        <v>203</v>
      </c>
      <c r="H51" s="11" t="s">
        <v>108</v>
      </c>
      <c r="I51" s="11" t="s">
        <v>60</v>
      </c>
      <c r="J51" s="11" t="s">
        <v>59</v>
      </c>
    </row>
    <row r="52" spans="1:2" ht="12.75">
      <c r="A52" s="8" t="s">
        <v>179</v>
      </c>
      <c r="B52" s="19"/>
    </row>
    <row r="53" spans="1:10" ht="12.75">
      <c r="A53" s="8" t="s">
        <v>171</v>
      </c>
      <c r="B53" s="19" t="e">
        <f>ADMINISTRATION!C9+ADMINISTRATION!C12+ADMINISTRATION!#REF!++ADMINISTRATION!C10+ADMINISTRATION!C11</f>
        <v>#REF!</v>
      </c>
      <c r="C53" s="4">
        <f>+POLICE!C13+POLICE!C10+POLICE!C11+POLICE!C12</f>
        <v>156523.92</v>
      </c>
      <c r="D53" s="4" t="e">
        <f>+#REF!+#REF!</f>
        <v>#REF!</v>
      </c>
      <c r="E53" s="4">
        <f>+'C&amp;D Site'!C11+'C&amp;D Site'!C10</f>
        <v>9583.79</v>
      </c>
      <c r="G53" s="4" t="e">
        <f>+LB840!#REF!+LB840!C11+LB840!C18+LB840!#REF!</f>
        <v>#REF!</v>
      </c>
      <c r="H53" s="4" t="e">
        <f>+PARK!C12+PARK!C10+PARK!#REF!+PARK!C11</f>
        <v>#REF!</v>
      </c>
      <c r="I53" s="4">
        <f>+LIBRARY!C13+LIBRARY!C10+LIBRARY!C11+LIBRARY!C12</f>
        <v>22350.64</v>
      </c>
      <c r="J53" s="4" t="e">
        <f>SUM(B53:I53)</f>
        <v>#REF!</v>
      </c>
    </row>
    <row r="54" spans="1:10" ht="12.75">
      <c r="A54" s="8" t="s">
        <v>172</v>
      </c>
      <c r="B54" s="19">
        <f>ADMINISTRATION!C17+ADMINISTRATION!C13+ADMINISTRATION!C14+ADMINISTRATION!C15+ADMINISTRATION!C16+ADMINISTRATION!C19+ADMINISTRATION!C20</f>
        <v>66778.96</v>
      </c>
      <c r="C54" s="4" t="e">
        <f>+POLICE!C19+POLICE!C14+POLICE!C15+POLICE!C16+POLICE!C17+POLICE!C18+POLICE!#REF!+POLICE!C23+POLICE!#REF!+POLICE!#REF!+POLICE!#REF!</f>
        <v>#REF!</v>
      </c>
      <c r="D54" s="4" t="e">
        <f>+#REF!+#REF!+#REF!+#REF!+#REF!+#REF!+#REF!+#REF!+#REF!+#REF!</f>
        <v>#REF!</v>
      </c>
      <c r="E54" s="4" t="e">
        <f>+'C&amp;D Site'!C15+'C&amp;D Site'!C12+'C&amp;D Site'!C13+'C&amp;D Site'!C14+'C&amp;D Site'!C19+'C&amp;D Site'!#REF!+'C&amp;D Site'!#REF!+'C&amp;D Site'!C16</f>
        <v>#REF!</v>
      </c>
      <c r="G54" s="4" t="e">
        <f>+LB840!#REF!+LB840!#REF!+LB840!#REF!+LB840!#REF!+LB840!#REF!</f>
        <v>#REF!</v>
      </c>
      <c r="H54" s="4">
        <f>+PARK!C15+PARK!C13+PARK!C14+PARK!C17+PARK!C21</f>
        <v>2816</v>
      </c>
      <c r="I54" s="3">
        <f>+LIBRARY!C18+LIBRARY!C19+LIBRARY!C16+LIBRARY!C15+LIBRARY!C14+LIBRARY!C17+LIBRARY!C20</f>
        <v>17922.59</v>
      </c>
      <c r="J54" s="4" t="e">
        <f>SUM(B54:I54)</f>
        <v>#REF!</v>
      </c>
    </row>
    <row r="55" spans="1:10" ht="12.75">
      <c r="A55" s="8" t="s">
        <v>173</v>
      </c>
      <c r="B55" s="19">
        <f>ADMINISTRATION!C21</f>
        <v>2704.62</v>
      </c>
      <c r="C55" s="4" t="e">
        <f>+POLICE!#REF!+POLICE!#REF!</f>
        <v>#REF!</v>
      </c>
      <c r="D55" s="4" t="e">
        <f>+#REF!</f>
        <v>#REF!</v>
      </c>
      <c r="E55" s="4" t="e">
        <f>+'C&amp;D Site'!#REF!</f>
        <v>#REF!</v>
      </c>
      <c r="G55" s="4" t="e">
        <f>+LB840!#REF!</f>
        <v>#REF!</v>
      </c>
      <c r="H55" s="4" t="e">
        <f>+PARK!#REF!</f>
        <v>#REF!</v>
      </c>
      <c r="I55" s="4">
        <f>+LIBRARY!C22</f>
        <v>114.96</v>
      </c>
      <c r="J55" s="4" t="e">
        <f>SUM(B55:I55)</f>
        <v>#REF!</v>
      </c>
    </row>
    <row r="56" spans="1:10" ht="12.75">
      <c r="A56" s="8" t="s">
        <v>174</v>
      </c>
      <c r="B56" s="19"/>
      <c r="H56" s="4">
        <f>+PARK!C19+PARK!C20</f>
        <v>3317.33</v>
      </c>
      <c r="J56" s="4">
        <f>SUM(B56:I56)</f>
        <v>3317.33</v>
      </c>
    </row>
    <row r="57" spans="1:2" ht="12.75">
      <c r="A57" s="8" t="s">
        <v>175</v>
      </c>
      <c r="B57" s="19"/>
    </row>
    <row r="58" spans="1:10" ht="12.75">
      <c r="A58" s="8" t="s">
        <v>178</v>
      </c>
      <c r="B58" s="19"/>
      <c r="J58" s="4">
        <f>SUM(B58:I58)</f>
        <v>0</v>
      </c>
    </row>
    <row r="59" spans="1:10" ht="12.75">
      <c r="A59" s="8" t="s">
        <v>177</v>
      </c>
      <c r="B59" s="19"/>
      <c r="J59" s="4">
        <f>SUM(B59:I59)</f>
        <v>0</v>
      </c>
    </row>
    <row r="60" spans="1:10" ht="12.75">
      <c r="A60" s="4" t="s">
        <v>176</v>
      </c>
      <c r="B60" s="20" t="e">
        <f>ADMINISTRATION!#REF!+ADMINISTRATION!C24+ADMINISTRATION!#REF!+ADMINISTRATION!#REF!+ADMINISTRATION!C18+ADMINISTRATION!#REF!</f>
        <v>#REF!</v>
      </c>
      <c r="C60" s="4">
        <f>+POLICE!C22</f>
        <v>0</v>
      </c>
      <c r="D60" s="4" t="e">
        <f>+#REF!+#REF!</f>
        <v>#REF!</v>
      </c>
      <c r="E60" s="4" t="e">
        <f>+'C&amp;D Site'!C18+'C&amp;D Site'!#REF!+'C&amp;D Site'!#REF!</f>
        <v>#REF!</v>
      </c>
      <c r="G60" s="4" t="e">
        <f>+LB840!#REF!</f>
        <v>#REF!</v>
      </c>
      <c r="H60" s="4">
        <f>+PARK!C16</f>
        <v>219.28</v>
      </c>
      <c r="I60" s="4" t="e">
        <f>+LIBRARY!#REF!</f>
        <v>#REF!</v>
      </c>
      <c r="J60" s="4" t="e">
        <f>SUM(B60:I60)</f>
        <v>#REF!</v>
      </c>
    </row>
    <row r="61" spans="1:10" ht="12.75">
      <c r="A61" s="4" t="s">
        <v>182</v>
      </c>
      <c r="B61" s="4" t="e">
        <f aca="true" t="shared" si="5" ref="B61:J61">SUM(B53:B60)</f>
        <v>#REF!</v>
      </c>
      <c r="C61" s="4" t="e">
        <f t="shared" si="5"/>
        <v>#REF!</v>
      </c>
      <c r="D61" s="4" t="e">
        <f t="shared" si="5"/>
        <v>#REF!</v>
      </c>
      <c r="E61" s="4" t="e">
        <f t="shared" si="5"/>
        <v>#REF!</v>
      </c>
      <c r="G61" s="4" t="e">
        <f t="shared" si="5"/>
        <v>#REF!</v>
      </c>
      <c r="H61" s="4" t="e">
        <f t="shared" si="5"/>
        <v>#REF!</v>
      </c>
      <c r="I61" s="4" t="e">
        <f t="shared" si="5"/>
        <v>#REF!</v>
      </c>
      <c r="J61" s="4" t="e">
        <f t="shared" si="5"/>
        <v>#REF!</v>
      </c>
    </row>
  </sheetData>
  <sheetProtection/>
  <printOptions headings="1"/>
  <pageMargins left="0.5" right="0.5" top="0.5" bottom="0.5" header="0.25" footer="0.25"/>
  <pageSetup firstPageNumber="3" useFirstPageNumber="1" horizontalDpi="300" verticalDpi="300" orientation="landscape" scale="56" r:id="rId1"/>
  <headerFooter alignWithMargins="0">
    <oddFooter>&amp;C&amp;"Courier,Bold"&amp;12Page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27.50390625" defaultRowHeight="12.75"/>
  <cols>
    <col min="1" max="1" width="27.50390625" style="4" customWidth="1"/>
    <col min="2" max="2" width="13.75390625" style="4" customWidth="1"/>
    <col min="3" max="3" width="9.875" style="4" customWidth="1"/>
    <col min="4" max="5" width="9.25390625" style="4" customWidth="1"/>
    <col min="6" max="6" width="7.50390625" style="4" customWidth="1"/>
    <col min="7" max="8" width="8.875" style="4" customWidth="1"/>
    <col min="9" max="9" width="8.625" style="4" customWidth="1"/>
    <col min="10" max="11" width="10.125" style="4" bestFit="1" customWidth="1"/>
    <col min="12" max="12" width="10.375" style="4" customWidth="1"/>
    <col min="13" max="13" width="10.125" style="4" customWidth="1"/>
    <col min="14" max="14" width="11.50390625" style="4" customWidth="1"/>
    <col min="15" max="15" width="15.375" style="4" customWidth="1"/>
    <col min="16" max="16" width="9.75390625" style="9" bestFit="1" customWidth="1"/>
    <col min="17" max="16384" width="27.50390625" style="4" customWidth="1"/>
  </cols>
  <sheetData>
    <row r="1" ht="12.75">
      <c r="A1" s="8" t="s">
        <v>1</v>
      </c>
    </row>
    <row r="2" ht="12.75">
      <c r="A2" s="10" t="s">
        <v>255</v>
      </c>
    </row>
    <row r="4" spans="2:15" ht="12.75">
      <c r="B4" s="7" t="s">
        <v>59</v>
      </c>
      <c r="C4" s="11" t="s">
        <v>64</v>
      </c>
      <c r="D4" s="11" t="s">
        <v>97</v>
      </c>
      <c r="E4" s="11" t="s">
        <v>100</v>
      </c>
      <c r="F4" s="4" t="s">
        <v>111</v>
      </c>
      <c r="G4" s="11" t="s">
        <v>96</v>
      </c>
      <c r="H4" s="11" t="s">
        <v>97</v>
      </c>
      <c r="I4" s="11" t="s">
        <v>196</v>
      </c>
      <c r="J4" s="11" t="s">
        <v>188</v>
      </c>
      <c r="K4" s="11" t="s">
        <v>101</v>
      </c>
      <c r="L4" s="11" t="s">
        <v>62</v>
      </c>
      <c r="M4" s="12" t="s">
        <v>63</v>
      </c>
      <c r="N4" s="4" t="s">
        <v>103</v>
      </c>
      <c r="O4" s="4" t="s">
        <v>30</v>
      </c>
    </row>
    <row r="5" spans="2:14" ht="12.75">
      <c r="B5" s="11"/>
      <c r="C5" s="11"/>
      <c r="D5" s="11" t="s">
        <v>99</v>
      </c>
      <c r="E5" s="11" t="s">
        <v>99</v>
      </c>
      <c r="F5" s="11"/>
      <c r="G5" s="11"/>
      <c r="H5" s="11" t="s">
        <v>98</v>
      </c>
      <c r="I5" s="11"/>
      <c r="J5" s="11"/>
      <c r="K5" s="11" t="s">
        <v>102</v>
      </c>
      <c r="L5" s="11"/>
      <c r="M5" s="12"/>
      <c r="N5" s="4" t="s">
        <v>65</v>
      </c>
    </row>
    <row r="6" spans="2:13" ht="12.75">
      <c r="B6" s="13"/>
      <c r="L6" s="12"/>
      <c r="M6" s="12"/>
    </row>
    <row r="7" spans="1:15" ht="12.75">
      <c r="A7" s="8" t="s">
        <v>66</v>
      </c>
      <c r="B7" s="14" t="e">
        <f>GENERAL!#REF!</f>
        <v>#REF!</v>
      </c>
      <c r="C7" s="14">
        <f>STREET!D32</f>
        <v>170118.42</v>
      </c>
      <c r="D7" s="14">
        <f>'COMMUNITY IMPROVEMENT'!D27</f>
        <v>116402</v>
      </c>
      <c r="E7" s="14" t="e">
        <f>'ELECTRIC PLANT'!#REF!</f>
        <v>#REF!</v>
      </c>
      <c r="F7" s="14" t="e">
        <f>+'HOUSING AUTHORITY'!#REF!</f>
        <v>#REF!</v>
      </c>
      <c r="G7" s="14" t="e">
        <f>KENO!#REF!</f>
        <v>#REF!</v>
      </c>
      <c r="H7" s="14">
        <f>'COMMUNITY DEVELOPMENT'!D20</f>
        <v>4880</v>
      </c>
      <c r="I7" s="14" t="e">
        <f>+POOL!#REF!</f>
        <v>#REF!</v>
      </c>
      <c r="J7" s="14" t="e">
        <f>+HANDIBUS!#REF!+HANDIBUS!#REF!</f>
        <v>#REF!</v>
      </c>
      <c r="K7" s="14">
        <f>'DEBT SERVICE'!D24</f>
        <v>31152</v>
      </c>
      <c r="L7" s="14" t="e">
        <f>WATER!#REF!</f>
        <v>#REF!</v>
      </c>
      <c r="M7" s="14" t="e">
        <f>SEWER!#REF!</f>
        <v>#REF!</v>
      </c>
      <c r="N7" s="14" t="e">
        <f>+'SOLID WASTE-TRANSFER'!#REF!</f>
        <v>#REF!</v>
      </c>
      <c r="O7" s="14" t="e">
        <f>SUM(B7:N7)</f>
        <v>#REF!</v>
      </c>
    </row>
    <row r="8" spans="1:15" ht="12.75">
      <c r="A8" s="8"/>
      <c r="B8" s="14"/>
      <c r="C8" s="14"/>
      <c r="D8" s="14"/>
      <c r="E8" s="14"/>
      <c r="F8" s="14"/>
      <c r="G8" s="14"/>
      <c r="H8" s="14"/>
      <c r="I8" s="14"/>
      <c r="J8" s="14"/>
      <c r="L8" s="14"/>
      <c r="M8" s="14"/>
      <c r="N8" s="14"/>
      <c r="O8" s="14"/>
    </row>
    <row r="9" spans="1:2" ht="12.75">
      <c r="A9" s="8" t="s">
        <v>13</v>
      </c>
      <c r="B9" s="3"/>
    </row>
    <row r="10" spans="1:15" ht="12.75">
      <c r="A10" s="4" t="s">
        <v>67</v>
      </c>
      <c r="B10" s="4">
        <f>GENERAL!D42</f>
        <v>294513.79</v>
      </c>
      <c r="C10" s="4" t="e">
        <f>STREET!#REF!</f>
        <v>#REF!</v>
      </c>
      <c r="K10" s="4">
        <f>'DEBT SERVICE'!D30</f>
        <v>226000</v>
      </c>
      <c r="O10" s="4" t="e">
        <f aca="true" t="shared" si="0" ref="O10:O32">SUM(B10:N10)</f>
        <v>#REF!</v>
      </c>
    </row>
    <row r="11" spans="1:15" ht="12.75">
      <c r="A11" s="8" t="s">
        <v>68</v>
      </c>
      <c r="B11" s="4">
        <f>GENERAL!D35</f>
        <v>25355.55</v>
      </c>
      <c r="O11" s="4">
        <f t="shared" si="0"/>
        <v>25355.55</v>
      </c>
    </row>
    <row r="12" spans="1:15" ht="12.75">
      <c r="A12" s="8" t="s">
        <v>69</v>
      </c>
      <c r="C12" s="4">
        <f>STREET!D39</f>
        <v>0</v>
      </c>
      <c r="O12" s="4">
        <f t="shared" si="0"/>
        <v>0</v>
      </c>
    </row>
    <row r="13" spans="1:15" ht="12.75">
      <c r="A13" s="4" t="s">
        <v>70</v>
      </c>
      <c r="B13" s="4" t="e">
        <f>GENERAL!D26+GENERAL!D36</f>
        <v>#VALUE!</v>
      </c>
      <c r="O13" s="4" t="e">
        <f t="shared" si="0"/>
        <v>#VALUE!</v>
      </c>
    </row>
    <row r="14" spans="1:15" ht="12.75">
      <c r="A14" s="8" t="s">
        <v>71</v>
      </c>
      <c r="B14" s="4">
        <f>GENERAL!D31</f>
        <v>100223</v>
      </c>
      <c r="O14" s="4">
        <f t="shared" si="0"/>
        <v>100223</v>
      </c>
    </row>
    <row r="15" spans="1:15" ht="12.75">
      <c r="A15" s="8" t="s">
        <v>72</v>
      </c>
      <c r="C15" s="4">
        <f>STREET!D34</f>
        <v>25192.99</v>
      </c>
      <c r="O15" s="4">
        <f t="shared" si="0"/>
        <v>25192.99</v>
      </c>
    </row>
    <row r="16" spans="1:15" ht="12.75">
      <c r="A16" s="4" t="s">
        <v>73</v>
      </c>
      <c r="B16" s="4">
        <f>GENERAL!D33</f>
        <v>699</v>
      </c>
      <c r="K16" s="4">
        <f>'DEBT SERVICE'!D26</f>
        <v>725</v>
      </c>
      <c r="O16" s="4">
        <f t="shared" si="0"/>
        <v>1424</v>
      </c>
    </row>
    <row r="17" spans="1:15" ht="12.75">
      <c r="A17" s="8" t="s">
        <v>74</v>
      </c>
      <c r="B17" s="4" t="str">
        <f>GENERAL!D34</f>
        <v>xxxxxxxxx</v>
      </c>
      <c r="K17" s="4">
        <f>'DEBT SERVICE'!D29</f>
        <v>12503</v>
      </c>
      <c r="O17" s="4">
        <f t="shared" si="0"/>
        <v>12503</v>
      </c>
    </row>
    <row r="18" spans="1:15" ht="12.75">
      <c r="A18" s="8" t="s">
        <v>208</v>
      </c>
      <c r="B18" s="4" t="e">
        <f>GENERAL!#REF!</f>
        <v>#REF!</v>
      </c>
      <c r="K18" s="4">
        <f>'DEBT SERVICE'!D25</f>
        <v>17947</v>
      </c>
      <c r="O18" s="4" t="e">
        <f t="shared" si="0"/>
        <v>#REF!</v>
      </c>
    </row>
    <row r="19" spans="1:15" ht="12.75">
      <c r="A19" s="8" t="s">
        <v>104</v>
      </c>
      <c r="C19" s="4">
        <f>STREET!D41</f>
        <v>0</v>
      </c>
      <c r="O19" s="4">
        <f t="shared" si="0"/>
        <v>0</v>
      </c>
    </row>
    <row r="20" spans="1:15" ht="12.75">
      <c r="A20" s="8" t="s">
        <v>189</v>
      </c>
      <c r="L20" s="4">
        <f>+WATER!D33</f>
        <v>0</v>
      </c>
      <c r="M20" s="4">
        <f>+SEWER!D36</f>
        <v>178540.16</v>
      </c>
      <c r="O20" s="4">
        <f t="shared" si="0"/>
        <v>178540.16</v>
      </c>
    </row>
    <row r="21" spans="1:15" ht="12.75">
      <c r="A21" s="4" t="s">
        <v>190</v>
      </c>
      <c r="B21" s="4" t="e">
        <f>GENERAL!#REF!</f>
        <v>#REF!</v>
      </c>
      <c r="C21" s="4" t="e">
        <f>+STREET!#REF!</f>
        <v>#REF!</v>
      </c>
      <c r="D21" s="4">
        <f>'COMMUNITY IMPROVEMENT'!D28</f>
        <v>125689</v>
      </c>
      <c r="L21" s="4" t="e">
        <f>WATER!#REF!</f>
        <v>#REF!</v>
      </c>
      <c r="M21" s="4" t="e">
        <f>+SEWER!#REF!</f>
        <v>#REF!</v>
      </c>
      <c r="O21" s="4" t="e">
        <f t="shared" si="0"/>
        <v>#REF!</v>
      </c>
    </row>
    <row r="22" spans="1:15" ht="12.75">
      <c r="A22" s="4" t="s">
        <v>75</v>
      </c>
      <c r="O22" s="4">
        <f t="shared" si="0"/>
        <v>0</v>
      </c>
    </row>
    <row r="23" spans="1:15" ht="12.75">
      <c r="A23" s="8" t="s">
        <v>76</v>
      </c>
      <c r="B23" s="4">
        <f>GENERAL!D32</f>
        <v>8738.6</v>
      </c>
      <c r="O23" s="4">
        <f t="shared" si="0"/>
        <v>8738.6</v>
      </c>
    </row>
    <row r="24" spans="1:15" ht="12.75">
      <c r="A24" s="4" t="s">
        <v>77</v>
      </c>
      <c r="E24" s="4" t="str">
        <f>'ELECTRIC PLANT'!D53</f>
        <v> </v>
      </c>
      <c r="O24" s="4">
        <f t="shared" si="0"/>
        <v>0</v>
      </c>
    </row>
    <row r="25" spans="1:15" ht="12.75">
      <c r="A25" s="8" t="s">
        <v>78</v>
      </c>
      <c r="C25" s="4">
        <f>STREET!D37</f>
        <v>0</v>
      </c>
      <c r="O25" s="4">
        <f t="shared" si="0"/>
        <v>0</v>
      </c>
    </row>
    <row r="26" spans="1:15" ht="12.75">
      <c r="A26" s="4" t="s">
        <v>79</v>
      </c>
      <c r="B26" s="4">
        <f>GENERAL!D37</f>
        <v>0</v>
      </c>
      <c r="C26" s="4" t="e">
        <f>STREET!#REF!</f>
        <v>#REF!</v>
      </c>
      <c r="D26" s="4">
        <f>'COMMUNITY IMPROVEMENT'!D29</f>
        <v>4436</v>
      </c>
      <c r="E26" s="4" t="e">
        <f>'ELECTRIC PLANT'!#REF!</f>
        <v>#REF!</v>
      </c>
      <c r="G26" s="4" t="e">
        <f>+KENO!#REF!</f>
        <v>#REF!</v>
      </c>
      <c r="I26" s="4" t="e">
        <f>+POOL!#REF!</f>
        <v>#REF!</v>
      </c>
      <c r="K26" s="4">
        <f>'DEBT SERVICE'!D28</f>
        <v>700</v>
      </c>
      <c r="L26" s="4">
        <f>WATER!D36</f>
        <v>0</v>
      </c>
      <c r="M26" s="4" t="e">
        <f>SEWER!#REF!</f>
        <v>#REF!</v>
      </c>
      <c r="N26" s="4">
        <f>+'SOLID WASTE-TRANSFER'!D33</f>
        <v>0</v>
      </c>
      <c r="O26" s="4" t="e">
        <f t="shared" si="0"/>
        <v>#REF!</v>
      </c>
    </row>
    <row r="27" spans="1:15" ht="12.75">
      <c r="A27" s="8" t="s">
        <v>80</v>
      </c>
      <c r="B27" s="4" t="e">
        <f>GENERAL!#REF!+GENERAL!#REF!+GENERAL!#REF!</f>
        <v>#REF!</v>
      </c>
      <c r="L27" s="4" t="e">
        <f>WATER!D34+WATER!D35</f>
        <v>#VALUE!</v>
      </c>
      <c r="M27" s="4" t="e">
        <f>SEWER!#REF!+SEWER!#REF!</f>
        <v>#REF!</v>
      </c>
      <c r="N27" s="4">
        <f>SUM('SOLID WASTE-TRANSFER'!D34:D35)</f>
        <v>359442.88</v>
      </c>
      <c r="O27" s="4" t="e">
        <f t="shared" si="0"/>
        <v>#REF!</v>
      </c>
    </row>
    <row r="28" spans="1:15" ht="12.75">
      <c r="A28" s="4" t="s">
        <v>81</v>
      </c>
      <c r="B28" s="4">
        <f>GENERAL!D45</f>
        <v>0</v>
      </c>
      <c r="C28" s="4" t="e">
        <f>STREET!#REF!</f>
        <v>#REF!</v>
      </c>
      <c r="L28" s="4" t="e">
        <f>+WATER!#REF!</f>
        <v>#REF!</v>
      </c>
      <c r="N28" s="4" t="e">
        <f>SUM('SOLID WASTE-TRANSFER'!#REF!)</f>
        <v>#REF!</v>
      </c>
      <c r="O28" s="4" t="e">
        <f t="shared" si="0"/>
        <v>#REF!</v>
      </c>
    </row>
    <row r="29" spans="1:15" ht="12.75">
      <c r="A29" s="4" t="s">
        <v>106</v>
      </c>
      <c r="F29" s="4" t="e">
        <f>'HOUSING AUTHORITY'!#REF!</f>
        <v>#REF!</v>
      </c>
      <c r="H29" s="4">
        <f>'COMMUNITY DEVELOPMENT'!D21</f>
        <v>40</v>
      </c>
      <c r="J29" s="4" t="e">
        <f>+HANDIBUS!#REF!</f>
        <v>#REF!</v>
      </c>
      <c r="N29" s="4">
        <f>+'SOLID WASTE-TRANSFER'!D38</f>
        <v>0</v>
      </c>
      <c r="O29" s="4" t="e">
        <f t="shared" si="0"/>
        <v>#REF!</v>
      </c>
    </row>
    <row r="30" spans="1:15" ht="12.75">
      <c r="A30" s="4" t="s">
        <v>105</v>
      </c>
      <c r="O30" s="4">
        <f t="shared" si="0"/>
        <v>0</v>
      </c>
    </row>
    <row r="31" spans="1:15" ht="12.75">
      <c r="A31" s="4" t="s">
        <v>82</v>
      </c>
      <c r="B31" s="4">
        <f>+GENERAL!D41</f>
        <v>104853</v>
      </c>
      <c r="C31" s="4" t="e">
        <f>+STREET!#REF!</f>
        <v>#REF!</v>
      </c>
      <c r="D31" s="4">
        <f>+'COMMUNITY IMPROVEMENT'!D30</f>
        <v>5837</v>
      </c>
      <c r="N31" s="4" t="e">
        <f>+'SOLID WASTE-TRANSFER'!#REF!</f>
        <v>#REF!</v>
      </c>
      <c r="O31" s="4" t="e">
        <f t="shared" si="0"/>
        <v>#REF!</v>
      </c>
    </row>
    <row r="32" spans="1:15" ht="12.75">
      <c r="A32" s="4" t="s">
        <v>83</v>
      </c>
      <c r="B32" s="4" t="e">
        <f>GENERAL!#REF!+GENERAL!#REF!+GENERAL!#REF!+GENERAL!#REF!+GENERAL!#REF!+GENERAL!D38+GENERAL!D39+GENERAL!D40+GENERAL!D43+GENERAL!D44</f>
        <v>#REF!</v>
      </c>
      <c r="C32" s="14">
        <f>STREET!D35+STREET!D36</f>
        <v>0</v>
      </c>
      <c r="D32" s="14">
        <f>+'COMMUNITY IMPROVEMENT'!D31+'COMMUNITY IMPROVEMENT'!D32</f>
        <v>54837</v>
      </c>
      <c r="E32" s="14"/>
      <c r="F32" s="14"/>
      <c r="G32" s="14" t="e">
        <f>+KENO!#REF!</f>
        <v>#REF!</v>
      </c>
      <c r="H32" s="14"/>
      <c r="I32" s="14" t="e">
        <f>+POOL!D33+POOL!#REF!+POOL!D34+POOL!#REF!</f>
        <v>#REF!</v>
      </c>
      <c r="J32" s="14" t="e">
        <f>+HANDIBUS!#REF!+HANDIBUS!#REF!+HANDIBUS!#REF!+HANDIBUS!D31</f>
        <v>#REF!</v>
      </c>
      <c r="K32" s="14">
        <f>'DEBT SERVICE'!D27</f>
        <v>0</v>
      </c>
      <c r="L32" s="14" t="e">
        <f>WATER!#REF!+WATER!#REF!</f>
        <v>#REF!</v>
      </c>
      <c r="M32" s="14" t="e">
        <f>SEWER!D34+SEWER!#REF!</f>
        <v>#REF!</v>
      </c>
      <c r="N32" s="14" t="e">
        <f>+'SOLID WASTE-TRANSFER'!#REF!</f>
        <v>#REF!</v>
      </c>
      <c r="O32" s="14" t="e">
        <f t="shared" si="0"/>
        <v>#REF!</v>
      </c>
    </row>
    <row r="33" spans="1:16" ht="12.75">
      <c r="A33" s="8" t="s">
        <v>84</v>
      </c>
      <c r="B33" s="15" t="e">
        <f aca="true" t="shared" si="1" ref="B33:N33">SUM(B10:B32)</f>
        <v>#VALUE!</v>
      </c>
      <c r="C33" s="15" t="e">
        <f t="shared" si="1"/>
        <v>#REF!</v>
      </c>
      <c r="D33" s="15">
        <f t="shared" si="1"/>
        <v>190799</v>
      </c>
      <c r="E33" s="15" t="e">
        <f t="shared" si="1"/>
        <v>#REF!</v>
      </c>
      <c r="F33" s="15" t="e">
        <f t="shared" si="1"/>
        <v>#REF!</v>
      </c>
      <c r="G33" s="15" t="e">
        <f t="shared" si="1"/>
        <v>#REF!</v>
      </c>
      <c r="H33" s="15">
        <f t="shared" si="1"/>
        <v>40</v>
      </c>
      <c r="I33" s="15" t="e">
        <f>SUM(I10:I32)</f>
        <v>#REF!</v>
      </c>
      <c r="J33" s="15" t="e">
        <f>SUM(J10:J32)</f>
        <v>#REF!</v>
      </c>
      <c r="K33" s="15">
        <f t="shared" si="1"/>
        <v>257875</v>
      </c>
      <c r="L33" s="15" t="e">
        <f t="shared" si="1"/>
        <v>#REF!</v>
      </c>
      <c r="M33" s="15" t="e">
        <f t="shared" si="1"/>
        <v>#REF!</v>
      </c>
      <c r="N33" s="15" t="e">
        <f t="shared" si="1"/>
        <v>#REF!</v>
      </c>
      <c r="O33" s="14" t="e">
        <f>SUM(O10:O32)</f>
        <v>#REF!</v>
      </c>
      <c r="P33" s="9" t="e">
        <f>SUM(B33:N33)</f>
        <v>#VALUE!</v>
      </c>
    </row>
    <row r="35" spans="1:2" ht="12.75">
      <c r="A35" s="8" t="s">
        <v>4</v>
      </c>
      <c r="B35" s="3"/>
    </row>
    <row r="36" spans="1:15" ht="12.75">
      <c r="A36" s="4" t="s">
        <v>85</v>
      </c>
      <c r="B36" s="4" t="e">
        <f>J53</f>
        <v>#REF!</v>
      </c>
      <c r="C36" s="16">
        <f>STREET!D10+STREET!D11+STREET!D12+STREET!D13</f>
        <v>65449.33</v>
      </c>
      <c r="L36" s="4">
        <f>WATER!D10+WATER!D11++WATER!D12+WATER!D13</f>
        <v>29330.780000000002</v>
      </c>
      <c r="M36" s="4">
        <f>SEWER!D9+SEWER!D10+SEWER!D11+SEWER!D13</f>
        <v>28451.38</v>
      </c>
      <c r="N36" s="4">
        <f>+'SOLID WASTE-TRANSFER'!D9+'SOLID WASTE-TRANSFER'!D10+'SOLID WASTE-TRANSFER'!D11+'SOLID WASTE-TRANSFER'!D12</f>
        <v>55610.76</v>
      </c>
      <c r="O36" s="4" t="e">
        <f aca="true" t="shared" si="2" ref="O36:O44">SUM(B36:N36)</f>
        <v>#REF!</v>
      </c>
    </row>
    <row r="37" spans="1:15" ht="12.75">
      <c r="A37" s="8" t="s">
        <v>86</v>
      </c>
      <c r="B37" s="4" t="e">
        <f>J54</f>
        <v>#REF!</v>
      </c>
      <c r="C37" s="16" t="e">
        <f>STREET!D14+STREET!D15+STREET!D16+STREET!D17+STREET!D18+STREET!D19+STREET!D20+STREET!#REF!+STREET!#REF!</f>
        <v>#REF!</v>
      </c>
      <c r="G37" s="4" t="e">
        <f>KENO!D10+KENO!#REF!</f>
        <v>#REF!</v>
      </c>
      <c r="H37" s="4">
        <f>SUM('COMMUNITY DEVELOPMENT'!D11:D11)</f>
        <v>0</v>
      </c>
      <c r="I37" s="4">
        <f>+POOL!D11+POOL!D12</f>
        <v>24673.300000000003</v>
      </c>
      <c r="J37" s="4">
        <f>+HANDIBUS!D11+HANDIBUS!D12+HANDIBUS!D13+HANDIBUS!D15+HANDIBUS!D17</f>
        <v>2154.85</v>
      </c>
      <c r="L37" s="4" t="e">
        <f>WATER!D14+WATER!D15+WATER!D16+WATER!D17+WATER!D18+WATER!D19+WATER!D20+WATER!D21+WATER!D22+WATER!D23+WATER!#REF!+WATER!D24+WATER!D25</f>
        <v>#REF!</v>
      </c>
      <c r="M37" s="4" t="e">
        <f>SEWER!D14+SEWER!D15+SEWER!D16+SEWER!D17+SEWER!D18+SEWER!D19+SEWER!D20+SEWER!D21+SEWER!D23+SEWER!D24+SEWER!D25+SEWER!#REF!</f>
        <v>#REF!</v>
      </c>
      <c r="N37" s="4">
        <f>+'SOLID WASTE-TRANSFER'!D13+'SOLID WASTE-TRANSFER'!D14+'SOLID WASTE-TRANSFER'!D15+'SOLID WASTE-TRANSFER'!D16+'SOLID WASTE-TRANSFER'!D17+'SOLID WASTE-TRANSFER'!D18+'SOLID WASTE-TRANSFER'!D19+'SOLID WASTE-TRANSFER'!D20+'SOLID WASTE-TRANSFER'!D23+'SOLID WASTE-TRANSFER'!D24</f>
        <v>308231.04000000004</v>
      </c>
      <c r="O37" s="4" t="e">
        <f t="shared" si="2"/>
        <v>#REF!</v>
      </c>
    </row>
    <row r="38" spans="1:15" ht="12.75">
      <c r="A38" s="4" t="s">
        <v>87</v>
      </c>
      <c r="B38" s="4" t="e">
        <f>J55+GENERAL!#REF!</f>
        <v>#REF!</v>
      </c>
      <c r="C38" s="16">
        <f>STREET!D23</f>
        <v>30526</v>
      </c>
      <c r="E38" s="4">
        <f>SUM('ELECTRIC PLANT'!D9:D11)</f>
        <v>154758.38</v>
      </c>
      <c r="F38" s="4">
        <f>'HOUSING AUTHORITY'!D10</f>
        <v>573</v>
      </c>
      <c r="G38" s="4" t="e">
        <f>KENO!#REF!+KENO!#REF!</f>
        <v>#REF!</v>
      </c>
      <c r="L38" s="4" t="e">
        <f>WATER!#REF!</f>
        <v>#REF!</v>
      </c>
      <c r="M38" s="4" t="e">
        <f>SEWER!#REF!</f>
        <v>#REF!</v>
      </c>
      <c r="N38" s="4" t="e">
        <f>+'SOLID WASTE-TRANSFER'!#REF!</f>
        <v>#REF!</v>
      </c>
      <c r="O38" s="4" t="e">
        <f t="shared" si="2"/>
        <v>#REF!</v>
      </c>
    </row>
    <row r="39" spans="1:15" ht="12.75">
      <c r="A39" s="4" t="s">
        <v>183</v>
      </c>
      <c r="B39" s="4" t="e">
        <f>J56+GENERAL!#REF!</f>
        <v>#VALUE!</v>
      </c>
      <c r="C39" s="16">
        <f>+STREET!D21+STREET!D22</f>
        <v>0</v>
      </c>
      <c r="D39" s="4">
        <f>SUM('COMMUNITY IMPROVEMENT'!D13:D19)</f>
        <v>154557</v>
      </c>
      <c r="O39" s="4" t="e">
        <f t="shared" si="2"/>
        <v>#VALUE!</v>
      </c>
    </row>
    <row r="40" spans="1:15" ht="12.75">
      <c r="A40" s="8" t="s">
        <v>88</v>
      </c>
      <c r="C40" s="16"/>
      <c r="O40" s="4">
        <f t="shared" si="2"/>
        <v>0</v>
      </c>
    </row>
    <row r="41" spans="1:15" ht="12.75">
      <c r="A41" s="4" t="s">
        <v>89</v>
      </c>
      <c r="B41" s="4">
        <f>J58</f>
        <v>0</v>
      </c>
      <c r="C41" s="16">
        <f>+STREET!D24</f>
        <v>4315</v>
      </c>
      <c r="J41" s="4" t="e">
        <f>+HANDIBUS!#REF!</f>
        <v>#REF!</v>
      </c>
      <c r="K41" s="4">
        <f>'DEBT SERVICE'!D12+'DEBT SERVICE'!D14+'DEBT SERVICE'!D11+'DEBT SERVICE'!D15+'DEBT SERVICE'!D16+'DEBT SERVICE'!D17</f>
        <v>245800</v>
      </c>
      <c r="N41" s="4" t="e">
        <f>+'SOLID WASTE-TRANSFER'!#REF!+'SOLID WASTE-TRANSFER'!#REF!+'SOLID WASTE-TRANSFER'!#REF!</f>
        <v>#REF!</v>
      </c>
      <c r="O41" s="4" t="e">
        <f t="shared" si="2"/>
        <v>#REF!</v>
      </c>
    </row>
    <row r="42" spans="1:15" ht="12.75">
      <c r="A42" s="4" t="s">
        <v>90</v>
      </c>
      <c r="B42" s="4">
        <f>J59</f>
        <v>0</v>
      </c>
      <c r="C42" s="16" t="e">
        <f>+STREET!#REF!</f>
        <v>#REF!</v>
      </c>
      <c r="K42" s="4">
        <f>'DEBT SERVICE'!D13</f>
        <v>0</v>
      </c>
      <c r="M42" s="4" t="e">
        <f>SEWER!#REF!</f>
        <v>#REF!</v>
      </c>
      <c r="N42" s="4" t="e">
        <f>+'SOLID WASTE-TRANSFER'!#REF!</f>
        <v>#REF!</v>
      </c>
      <c r="O42" s="4" t="e">
        <f t="shared" si="2"/>
        <v>#REF!</v>
      </c>
    </row>
    <row r="43" spans="1:15" ht="12.75">
      <c r="A43" s="4" t="s">
        <v>91</v>
      </c>
      <c r="B43" s="4" t="e">
        <f>J60+GENERAL!#REF!+GENERAL!#REF!+GENERAL!#REF!</f>
        <v>#REF!</v>
      </c>
      <c r="C43" s="16"/>
      <c r="J43" s="4">
        <f>+HANDIBUS!D23</f>
        <v>0</v>
      </c>
      <c r="M43" s="4" t="e">
        <f>+SEWER!#REF!</f>
        <v>#REF!</v>
      </c>
      <c r="N43" s="4" t="e">
        <f>+'SOLID WASTE-TRANSFER'!#REF!+'SOLID WASTE-TRANSFER'!#REF!</f>
        <v>#REF!</v>
      </c>
      <c r="O43" s="4" t="e">
        <f t="shared" si="2"/>
        <v>#REF!</v>
      </c>
    </row>
    <row r="44" spans="1:15" ht="12.75">
      <c r="A44" s="4" t="s">
        <v>92</v>
      </c>
      <c r="B44" s="14" t="e">
        <f>GENERAL!#REF!+GENERAL!#REF!+GENERAL!#REF!</f>
        <v>#REF!</v>
      </c>
      <c r="C44" s="17"/>
      <c r="D44" s="14"/>
      <c r="E44" s="14"/>
      <c r="F44" s="14"/>
      <c r="G44" s="14"/>
      <c r="H44" s="14"/>
      <c r="I44" s="14"/>
      <c r="J44" s="14" t="e">
        <f>+HANDIBUS!#REF!</f>
        <v>#REF!</v>
      </c>
      <c r="K44" s="14"/>
      <c r="L44" s="14"/>
      <c r="M44" s="14" t="e">
        <f>SEWER!#REF!</f>
        <v>#REF!</v>
      </c>
      <c r="N44" s="14"/>
      <c r="O44" s="14" t="e">
        <f t="shared" si="2"/>
        <v>#REF!</v>
      </c>
    </row>
    <row r="45" spans="1:16" ht="12.75">
      <c r="A45" s="4" t="s">
        <v>93</v>
      </c>
      <c r="B45" s="15" t="e">
        <f aca="true" t="shared" si="3" ref="B45:M45">SUM(B36:B44)</f>
        <v>#REF!</v>
      </c>
      <c r="C45" s="15" t="e">
        <f t="shared" si="3"/>
        <v>#REF!</v>
      </c>
      <c r="D45" s="15">
        <f t="shared" si="3"/>
        <v>154557</v>
      </c>
      <c r="E45" s="15">
        <f t="shared" si="3"/>
        <v>154758.38</v>
      </c>
      <c r="F45" s="15">
        <f t="shared" si="3"/>
        <v>573</v>
      </c>
      <c r="G45" s="15" t="e">
        <f t="shared" si="3"/>
        <v>#REF!</v>
      </c>
      <c r="H45" s="15">
        <f t="shared" si="3"/>
        <v>0</v>
      </c>
      <c r="I45" s="15">
        <f>SUM(I37:I44)</f>
        <v>24673.300000000003</v>
      </c>
      <c r="J45" s="15" t="e">
        <f>SUM(J37:J44)</f>
        <v>#REF!</v>
      </c>
      <c r="K45" s="15">
        <f t="shared" si="3"/>
        <v>245800</v>
      </c>
      <c r="L45" s="15" t="e">
        <f t="shared" si="3"/>
        <v>#REF!</v>
      </c>
      <c r="M45" s="15" t="e">
        <f t="shared" si="3"/>
        <v>#REF!</v>
      </c>
      <c r="N45" s="15" t="e">
        <f>SUM(N36:N44)</f>
        <v>#REF!</v>
      </c>
      <c r="O45" s="14" t="e">
        <f>SUM(O36:O44)</f>
        <v>#REF!</v>
      </c>
      <c r="P45" s="9" t="e">
        <f>SUM(B45:N45)</f>
        <v>#REF!</v>
      </c>
    </row>
    <row r="46" spans="2:12" ht="12.75">
      <c r="B46" s="15"/>
      <c r="C46" s="15"/>
      <c r="D46" s="15"/>
      <c r="E46" s="15"/>
      <c r="G46" s="15"/>
      <c r="H46" s="15"/>
      <c r="I46" s="15"/>
      <c r="J46" s="15"/>
      <c r="K46" s="15"/>
      <c r="L46" s="15"/>
    </row>
    <row r="47" spans="1:16" ht="12.75">
      <c r="A47" s="4" t="s">
        <v>94</v>
      </c>
      <c r="B47" s="14" t="e">
        <f>B7+B33-B45</f>
        <v>#REF!</v>
      </c>
      <c r="C47" s="14" t="e">
        <f>C7+C33-C45</f>
        <v>#REF!</v>
      </c>
      <c r="D47" s="14">
        <f>D7+D33-D45</f>
        <v>152644</v>
      </c>
      <c r="E47" s="14" t="e">
        <f>E7+E33-E45</f>
        <v>#REF!</v>
      </c>
      <c r="F47" s="14" t="e">
        <f>F7+F33-F45</f>
        <v>#REF!</v>
      </c>
      <c r="G47" s="14" t="e">
        <f>+G7+G33-G45</f>
        <v>#REF!</v>
      </c>
      <c r="H47" s="14">
        <f aca="true" t="shared" si="4" ref="H47:O47">H7+H33-H45</f>
        <v>4920</v>
      </c>
      <c r="I47" s="14" t="e">
        <f t="shared" si="4"/>
        <v>#REF!</v>
      </c>
      <c r="J47" s="14" t="e">
        <f t="shared" si="4"/>
        <v>#REF!</v>
      </c>
      <c r="K47" s="14">
        <f t="shared" si="4"/>
        <v>43227</v>
      </c>
      <c r="L47" s="14" t="e">
        <f t="shared" si="4"/>
        <v>#REF!</v>
      </c>
      <c r="M47" s="14" t="e">
        <f t="shared" si="4"/>
        <v>#REF!</v>
      </c>
      <c r="N47" s="14" t="e">
        <f t="shared" si="4"/>
        <v>#REF!</v>
      </c>
      <c r="O47" s="14" t="e">
        <f t="shared" si="4"/>
        <v>#REF!</v>
      </c>
      <c r="P47" s="9" t="e">
        <f>SUM(B47:N47)</f>
        <v>#REF!</v>
      </c>
    </row>
    <row r="50" ht="12.75">
      <c r="A50" s="8"/>
    </row>
    <row r="51" spans="1:10" ht="12.75">
      <c r="A51" s="8" t="s">
        <v>95</v>
      </c>
      <c r="B51" s="18" t="s">
        <v>180</v>
      </c>
      <c r="C51" s="11" t="s">
        <v>38</v>
      </c>
      <c r="D51" s="11" t="s">
        <v>181</v>
      </c>
      <c r="E51" s="11" t="s">
        <v>61</v>
      </c>
      <c r="F51" s="11"/>
      <c r="G51" s="11" t="s">
        <v>203</v>
      </c>
      <c r="H51" s="11" t="s">
        <v>108</v>
      </c>
      <c r="I51" s="11" t="s">
        <v>60</v>
      </c>
      <c r="J51" s="11" t="s">
        <v>59</v>
      </c>
    </row>
    <row r="52" spans="1:2" ht="12.75">
      <c r="A52" s="8" t="s">
        <v>179</v>
      </c>
      <c r="B52" s="19"/>
    </row>
    <row r="53" spans="1:10" ht="12.75">
      <c r="A53" s="8" t="s">
        <v>171</v>
      </c>
      <c r="B53" s="19" t="e">
        <f>ADMINISTRATION!D9+ADMINISTRATION!D12+ADMINISTRATION!#REF!++ADMINISTRATION!D10+ADMINISTRATION!D11</f>
        <v>#REF!</v>
      </c>
      <c r="C53" s="4">
        <f>+POLICE!D13+POLICE!D10+POLICE!D11+POLICE!D12</f>
        <v>169371.81</v>
      </c>
      <c r="D53" s="4" t="e">
        <f>+#REF!+#REF!</f>
        <v>#REF!</v>
      </c>
      <c r="E53" s="4">
        <f>+'C&amp;D Site'!D11+'C&amp;D Site'!D10</f>
        <v>9952.83</v>
      </c>
      <c r="G53" s="4" t="e">
        <f>+LB840!#REF!+LB840!D11+LB840!D18+LB840!#REF!</f>
        <v>#REF!</v>
      </c>
      <c r="H53" s="4" t="e">
        <f>+PARK!D12+PARK!D10+PARK!#REF!+PARK!D11</f>
        <v>#REF!</v>
      </c>
      <c r="I53" s="4">
        <f>+LIBRARY!D13+LIBRARY!D10+LIBRARY!D11+LIBRARY!D12</f>
        <v>32212.78</v>
      </c>
      <c r="J53" s="4" t="e">
        <f>SUM(B53:I53)</f>
        <v>#REF!</v>
      </c>
    </row>
    <row r="54" spans="1:10" ht="12.75">
      <c r="A54" s="8" t="s">
        <v>172</v>
      </c>
      <c r="B54" s="19">
        <f>ADMINISTRATION!D17+ADMINISTRATION!D13+ADMINISTRATION!D14+ADMINISTRATION!D15+ADMINISTRATION!D16+ADMINISTRATION!D19+ADMINISTRATION!D20</f>
        <v>56098.6</v>
      </c>
      <c r="C54" s="4" t="e">
        <f>+POLICE!D19+POLICE!D14+POLICE!D15+POLICE!D16+POLICE!D17+POLICE!D18+POLICE!#REF!+POLICE!D23+POLICE!#REF!+POLICE!#REF!+POLICE!#REF!</f>
        <v>#REF!</v>
      </c>
      <c r="D54" s="4" t="e">
        <f>+#REF!+#REF!+#REF!+#REF!+#REF!+#REF!+#REF!+#REF!+#REF!+#REF!</f>
        <v>#REF!</v>
      </c>
      <c r="E54" s="4" t="e">
        <f>+'C&amp;D Site'!D15+'C&amp;D Site'!D12+'C&amp;D Site'!D13+'C&amp;D Site'!D14+'C&amp;D Site'!D19+'C&amp;D Site'!#REF!+'C&amp;D Site'!#REF!+'C&amp;D Site'!D16</f>
        <v>#REF!</v>
      </c>
      <c r="G54" s="4" t="e">
        <f>+LB840!#REF!+LB840!#REF!+LB840!#REF!+LB840!#REF!+LB840!#REF!</f>
        <v>#REF!</v>
      </c>
      <c r="H54" s="4" t="e">
        <f>+PARK!D15+PARK!D13+PARK!D14+PARK!D17+PARK!D21</f>
        <v>#VALUE!</v>
      </c>
      <c r="I54" s="3">
        <f>+LIBRARY!D18+LIBRARY!D19+LIBRARY!D16+LIBRARY!D15+LIBRARY!D14+LIBRARY!D17+LIBRARY!D20</f>
        <v>33465.58</v>
      </c>
      <c r="J54" s="4" t="e">
        <f>SUM(B54:I54)</f>
        <v>#REF!</v>
      </c>
    </row>
    <row r="55" spans="1:10" ht="12.75">
      <c r="A55" s="8" t="s">
        <v>173</v>
      </c>
      <c r="B55" s="19">
        <f>ADMINISTRATION!D21</f>
        <v>1338.98</v>
      </c>
      <c r="C55" s="4" t="e">
        <f>+POLICE!#REF!+POLICE!#REF!</f>
        <v>#REF!</v>
      </c>
      <c r="D55" s="4" t="e">
        <f>+#REF!</f>
        <v>#REF!</v>
      </c>
      <c r="E55" s="4" t="e">
        <f>+'C&amp;D Site'!#REF!</f>
        <v>#REF!</v>
      </c>
      <c r="G55" s="4" t="e">
        <f>+LB840!#REF!</f>
        <v>#REF!</v>
      </c>
      <c r="H55" s="4" t="e">
        <f>+PARK!#REF!</f>
        <v>#REF!</v>
      </c>
      <c r="I55" s="4">
        <f>+LIBRARY!D22</f>
        <v>55</v>
      </c>
      <c r="J55" s="4" t="e">
        <f>SUM(B55:I55)</f>
        <v>#REF!</v>
      </c>
    </row>
    <row r="56" spans="1:10" ht="12.75">
      <c r="A56" s="8" t="s">
        <v>174</v>
      </c>
      <c r="B56" s="19"/>
      <c r="H56" s="4" t="e">
        <f>+PARK!D19+PARK!D20</f>
        <v>#VALUE!</v>
      </c>
      <c r="J56" s="4" t="e">
        <f>SUM(B56:I56)</f>
        <v>#VALUE!</v>
      </c>
    </row>
    <row r="57" spans="1:2" ht="12.75">
      <c r="A57" s="8" t="s">
        <v>175</v>
      </c>
      <c r="B57" s="19"/>
    </row>
    <row r="58" spans="1:10" ht="12.75">
      <c r="A58" s="8" t="s">
        <v>178</v>
      </c>
      <c r="B58" s="19"/>
      <c r="J58" s="4">
        <f>SUM(B58:I58)</f>
        <v>0</v>
      </c>
    </row>
    <row r="59" spans="1:10" ht="12.75">
      <c r="A59" s="8" t="s">
        <v>177</v>
      </c>
      <c r="B59" s="19"/>
      <c r="J59" s="4">
        <f>SUM(B59:I59)</f>
        <v>0</v>
      </c>
    </row>
    <row r="60" spans="1:10" ht="12.75">
      <c r="A60" s="4" t="s">
        <v>176</v>
      </c>
      <c r="B60" s="20" t="e">
        <f>ADMINISTRATION!#REF!+ADMINISTRATION!D24+ADMINISTRATION!#REF!+ADMINISTRATION!#REF!+ADMINISTRATION!D18+ADMINISTRATION!#REF!</f>
        <v>#REF!</v>
      </c>
      <c r="C60" s="4">
        <f>+POLICE!D22</f>
        <v>0</v>
      </c>
      <c r="D60" s="4" t="e">
        <f>+#REF!+#REF!</f>
        <v>#REF!</v>
      </c>
      <c r="E60" s="4" t="e">
        <f>+'C&amp;D Site'!D18+'C&amp;D Site'!#REF!+'C&amp;D Site'!#REF!</f>
        <v>#REF!</v>
      </c>
      <c r="G60" s="4" t="e">
        <f>+LB840!#REF!</f>
        <v>#REF!</v>
      </c>
      <c r="H60" s="4">
        <f>+PARK!D16</f>
        <v>0</v>
      </c>
      <c r="I60" s="4" t="e">
        <f>+LIBRARY!#REF!</f>
        <v>#REF!</v>
      </c>
      <c r="J60" s="4" t="e">
        <f>SUM(B60:I60)</f>
        <v>#REF!</v>
      </c>
    </row>
    <row r="61" spans="1:10" ht="12.75">
      <c r="A61" s="4" t="s">
        <v>182</v>
      </c>
      <c r="B61" s="4" t="e">
        <f aca="true" t="shared" si="5" ref="B61:J61">SUM(B53:B60)</f>
        <v>#REF!</v>
      </c>
      <c r="C61" s="4" t="e">
        <f t="shared" si="5"/>
        <v>#REF!</v>
      </c>
      <c r="D61" s="4" t="e">
        <f t="shared" si="5"/>
        <v>#REF!</v>
      </c>
      <c r="E61" s="4" t="e">
        <f t="shared" si="5"/>
        <v>#REF!</v>
      </c>
      <c r="G61" s="4" t="e">
        <f t="shared" si="5"/>
        <v>#REF!</v>
      </c>
      <c r="H61" s="4" t="e">
        <f t="shared" si="5"/>
        <v>#REF!</v>
      </c>
      <c r="I61" s="4" t="e">
        <f t="shared" si="5"/>
        <v>#REF!</v>
      </c>
      <c r="J61" s="4" t="e">
        <f t="shared" si="5"/>
        <v>#REF!</v>
      </c>
    </row>
  </sheetData>
  <sheetProtection/>
  <printOptions/>
  <pageMargins left="0.75" right="0.75" top="1" bottom="1" header="0.5" footer="0.5"/>
  <pageSetup horizontalDpi="1200" verticalDpi="1200" orientation="landscape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1"/>
  <sheetViews>
    <sheetView showGridLines="0" zoomScalePageLayoutView="0" workbookViewId="0" topLeftCell="A1">
      <pane xSplit="1" ySplit="5" topLeftCell="B6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E7" sqref="E7"/>
    </sheetView>
  </sheetViews>
  <sheetFormatPr defaultColWidth="27.50390625" defaultRowHeight="12.75"/>
  <cols>
    <col min="1" max="1" width="27.50390625" style="4" customWidth="1"/>
    <col min="2" max="2" width="13.75390625" style="4" customWidth="1"/>
    <col min="3" max="3" width="9.875" style="4" customWidth="1"/>
    <col min="4" max="5" width="9.25390625" style="4" customWidth="1"/>
    <col min="6" max="6" width="8.00390625" style="4" customWidth="1"/>
    <col min="7" max="8" width="8.875" style="4" customWidth="1"/>
    <col min="9" max="9" width="8.625" style="4" customWidth="1"/>
    <col min="10" max="11" width="10.125" style="4" bestFit="1" customWidth="1"/>
    <col min="12" max="12" width="10.375" style="4" customWidth="1"/>
    <col min="13" max="13" width="10.125" style="4" customWidth="1"/>
    <col min="14" max="14" width="11.50390625" style="4" customWidth="1"/>
    <col min="15" max="15" width="15.375" style="4" customWidth="1"/>
    <col min="16" max="16" width="27.50390625" style="9" customWidth="1"/>
    <col min="17" max="16384" width="27.50390625" style="4" customWidth="1"/>
  </cols>
  <sheetData>
    <row r="1" ht="12.75">
      <c r="A1" s="8" t="s">
        <v>267</v>
      </c>
    </row>
    <row r="2" ht="12.75">
      <c r="A2" s="10" t="s">
        <v>315</v>
      </c>
    </row>
    <row r="4" spans="2:15" ht="12.75">
      <c r="B4" s="7" t="s">
        <v>59</v>
      </c>
      <c r="C4" s="11" t="s">
        <v>64</v>
      </c>
      <c r="D4" s="11" t="s">
        <v>97</v>
      </c>
      <c r="E4" s="11" t="s">
        <v>100</v>
      </c>
      <c r="F4" s="4" t="s">
        <v>111</v>
      </c>
      <c r="G4" s="11" t="s">
        <v>96</v>
      </c>
      <c r="H4" s="11" t="s">
        <v>97</v>
      </c>
      <c r="I4" s="11" t="s">
        <v>196</v>
      </c>
      <c r="J4" s="11" t="s">
        <v>188</v>
      </c>
      <c r="K4" s="11" t="s">
        <v>101</v>
      </c>
      <c r="L4" s="11" t="s">
        <v>62</v>
      </c>
      <c r="M4" s="12" t="s">
        <v>63</v>
      </c>
      <c r="N4" s="4" t="s">
        <v>103</v>
      </c>
      <c r="O4" s="4" t="s">
        <v>30</v>
      </c>
    </row>
    <row r="5" spans="2:14" ht="12.75">
      <c r="B5" s="11"/>
      <c r="C5" s="11"/>
      <c r="D5" s="11" t="s">
        <v>99</v>
      </c>
      <c r="E5" s="11" t="s">
        <v>99</v>
      </c>
      <c r="F5" s="11"/>
      <c r="G5" s="11"/>
      <c r="H5" s="11" t="s">
        <v>98</v>
      </c>
      <c r="I5" s="11"/>
      <c r="J5" s="11"/>
      <c r="K5" s="11" t="s">
        <v>102</v>
      </c>
      <c r="L5" s="11"/>
      <c r="M5" s="12"/>
      <c r="N5" s="4" t="s">
        <v>65</v>
      </c>
    </row>
    <row r="6" spans="2:13" ht="12.75">
      <c r="B6" s="13"/>
      <c r="L6" s="12"/>
      <c r="M6" s="12"/>
    </row>
    <row r="7" spans="1:15" ht="12.75">
      <c r="A7" s="8" t="s">
        <v>66</v>
      </c>
      <c r="B7" s="14" t="e">
        <f>GENERAL!#REF!</f>
        <v>#REF!</v>
      </c>
      <c r="C7" s="14">
        <f>STREET!F32</f>
        <v>163000</v>
      </c>
      <c r="D7" s="14">
        <f>'COMMUNITY IMPROVEMENT'!F27</f>
        <v>152644</v>
      </c>
      <c r="E7" s="14" t="e">
        <f>'ELECTRIC PLANT'!#REF!</f>
        <v>#REF!</v>
      </c>
      <c r="F7" s="14" t="e">
        <f>+'HOUSING AUTHORITY'!#REF!</f>
        <v>#REF!</v>
      </c>
      <c r="G7" s="14" t="e">
        <f>KENO!#REF!</f>
        <v>#REF!</v>
      </c>
      <c r="H7" s="14">
        <f>'COMMUNITY DEVELOPMENT'!F20</f>
        <v>0</v>
      </c>
      <c r="I7" s="14" t="e">
        <f>+POOL!#REF!</f>
        <v>#REF!</v>
      </c>
      <c r="J7" s="14" t="e">
        <f>+HANDIBUS!#REF!+HANDIBUS!#REF!</f>
        <v>#REF!</v>
      </c>
      <c r="K7" s="14">
        <f>'DEBT SERVICE'!F24</f>
        <v>43227</v>
      </c>
      <c r="L7" s="14" t="e">
        <f>WATER!#REF!</f>
        <v>#REF!</v>
      </c>
      <c r="M7" s="14" t="e">
        <f>SEWER!#REF!</f>
        <v>#REF!</v>
      </c>
      <c r="N7" s="14" t="e">
        <f>+'SOLID WASTE-TRANSFER'!#REF!</f>
        <v>#REF!</v>
      </c>
      <c r="O7" s="14" t="e">
        <f>SUM(B7:N7)</f>
        <v>#REF!</v>
      </c>
    </row>
    <row r="8" spans="1:15" ht="12.75">
      <c r="A8" s="8"/>
      <c r="B8" s="14"/>
      <c r="C8" s="14"/>
      <c r="D8" s="14"/>
      <c r="E8" s="14"/>
      <c r="F8" s="14"/>
      <c r="G8" s="14"/>
      <c r="H8" s="14"/>
      <c r="I8" s="14"/>
      <c r="J8" s="14"/>
      <c r="L8" s="14"/>
      <c r="M8" s="14"/>
      <c r="N8" s="14"/>
      <c r="O8" s="14"/>
    </row>
    <row r="9" spans="1:2" ht="12.75">
      <c r="A9" s="8" t="s">
        <v>13</v>
      </c>
      <c r="B9" s="3"/>
    </row>
    <row r="10" spans="1:15" ht="12.75">
      <c r="A10" s="4" t="s">
        <v>67</v>
      </c>
      <c r="B10" s="4">
        <f>GENERAL!F42</f>
        <v>291618</v>
      </c>
      <c r="C10" s="4" t="e">
        <f>STREET!#REF!</f>
        <v>#REF!</v>
      </c>
      <c r="K10" s="4">
        <f>'DEBT SERVICE'!F30</f>
        <v>238000</v>
      </c>
      <c r="O10" s="4" t="e">
        <f aca="true" t="shared" si="0" ref="O10:O32">SUM(B10:N10)</f>
        <v>#REF!</v>
      </c>
    </row>
    <row r="11" spans="1:15" ht="12.75">
      <c r="A11" s="8" t="s">
        <v>68</v>
      </c>
      <c r="B11" s="4">
        <f>GENERAL!F35</f>
        <v>25000</v>
      </c>
      <c r="O11" s="4">
        <f t="shared" si="0"/>
        <v>25000</v>
      </c>
    </row>
    <row r="12" spans="1:15" ht="12.75">
      <c r="A12" s="8" t="s">
        <v>69</v>
      </c>
      <c r="C12" s="4">
        <f>STREET!F39</f>
        <v>0</v>
      </c>
      <c r="O12" s="4">
        <f t="shared" si="0"/>
        <v>0</v>
      </c>
    </row>
    <row r="13" spans="1:15" ht="12.75">
      <c r="A13" s="4" t="s">
        <v>70</v>
      </c>
      <c r="B13" s="4">
        <f>GENERAL!F26+GENERAL!F36</f>
        <v>5904</v>
      </c>
      <c r="O13" s="4">
        <f t="shared" si="0"/>
        <v>5904</v>
      </c>
    </row>
    <row r="14" spans="1:15" ht="12.75">
      <c r="A14" s="8" t="s">
        <v>71</v>
      </c>
      <c r="B14" s="4">
        <f>GENERAL!F31</f>
        <v>110943.07</v>
      </c>
      <c r="O14" s="4">
        <f t="shared" si="0"/>
        <v>110943.07</v>
      </c>
    </row>
    <row r="15" spans="1:15" ht="12.75">
      <c r="A15" s="8" t="s">
        <v>72</v>
      </c>
      <c r="C15" s="4">
        <f>STREET!F34</f>
        <v>25000</v>
      </c>
      <c r="O15" s="4">
        <f t="shared" si="0"/>
        <v>25000</v>
      </c>
    </row>
    <row r="16" spans="1:15" ht="12.75">
      <c r="A16" s="4" t="s">
        <v>73</v>
      </c>
      <c r="B16" s="4">
        <f>GENERAL!F33</f>
        <v>700</v>
      </c>
      <c r="K16" s="4">
        <f>'DEBT SERVICE'!F26</f>
        <v>700</v>
      </c>
      <c r="O16" s="4">
        <f t="shared" si="0"/>
        <v>1400</v>
      </c>
    </row>
    <row r="17" spans="1:15" ht="12.75">
      <c r="A17" s="8" t="s">
        <v>74</v>
      </c>
      <c r="B17" s="4" t="str">
        <f>GENERAL!F34</f>
        <v>xxxxxxxxxx</v>
      </c>
      <c r="K17" s="4">
        <f>'DEBT SERVICE'!F29</f>
        <v>0</v>
      </c>
      <c r="O17" s="4">
        <f t="shared" si="0"/>
        <v>0</v>
      </c>
    </row>
    <row r="18" spans="1:15" ht="12.75">
      <c r="A18" s="8" t="s">
        <v>209</v>
      </c>
      <c r="B18" s="4" t="e">
        <f>GENERAL!#REF!</f>
        <v>#REF!</v>
      </c>
      <c r="K18" s="4">
        <f>'DEBT SERVICE'!F25</f>
        <v>18000</v>
      </c>
      <c r="O18" s="4" t="e">
        <f t="shared" si="0"/>
        <v>#REF!</v>
      </c>
    </row>
    <row r="19" spans="1:15" ht="12.75">
      <c r="A19" s="8" t="s">
        <v>104</v>
      </c>
      <c r="C19" s="4">
        <f>STREET!F41</f>
        <v>30000</v>
      </c>
      <c r="O19" s="4">
        <f t="shared" si="0"/>
        <v>30000</v>
      </c>
    </row>
    <row r="20" spans="1:15" ht="12.75">
      <c r="A20" s="8" t="s">
        <v>189</v>
      </c>
      <c r="L20" s="4">
        <f>+WATER!F33</f>
        <v>100</v>
      </c>
      <c r="M20" s="4">
        <f>+SEWER!F36</f>
        <v>180500</v>
      </c>
      <c r="O20" s="4">
        <f t="shared" si="0"/>
        <v>180600</v>
      </c>
    </row>
    <row r="21" spans="1:15" ht="12.75">
      <c r="A21" s="4" t="s">
        <v>190</v>
      </c>
      <c r="B21" s="4" t="e">
        <f>GENERAL!#REF!</f>
        <v>#REF!</v>
      </c>
      <c r="C21" s="4" t="e">
        <f>+STREET!#REF!</f>
        <v>#REF!</v>
      </c>
      <c r="D21" s="4">
        <f>'COMMUNITY IMPROVEMENT'!F28</f>
        <v>120000</v>
      </c>
      <c r="L21" s="4" t="e">
        <f>WATER!#REF!</f>
        <v>#REF!</v>
      </c>
      <c r="M21" s="4" t="e">
        <f>+SEWER!#REF!</f>
        <v>#REF!</v>
      </c>
      <c r="O21" s="4" t="e">
        <f t="shared" si="0"/>
        <v>#REF!</v>
      </c>
    </row>
    <row r="22" spans="1:15" ht="12.75">
      <c r="A22" s="4" t="s">
        <v>75</v>
      </c>
      <c r="O22" s="4">
        <f t="shared" si="0"/>
        <v>0</v>
      </c>
    </row>
    <row r="23" spans="1:15" ht="12.75">
      <c r="A23" s="8" t="s">
        <v>76</v>
      </c>
      <c r="B23" s="4">
        <f>GENERAL!F32</f>
        <v>8000</v>
      </c>
      <c r="O23" s="4">
        <f t="shared" si="0"/>
        <v>8000</v>
      </c>
    </row>
    <row r="24" spans="1:15" ht="12.75">
      <c r="A24" s="4" t="s">
        <v>77</v>
      </c>
      <c r="E24" s="4">
        <f>'ELECTRIC PLANT'!F53</f>
        <v>101091</v>
      </c>
      <c r="O24" s="4">
        <f t="shared" si="0"/>
        <v>101091</v>
      </c>
    </row>
    <row r="25" spans="1:15" ht="12.75">
      <c r="A25" s="8" t="s">
        <v>78</v>
      </c>
      <c r="C25" s="4">
        <f>STREET!F37</f>
        <v>0</v>
      </c>
      <c r="O25" s="4">
        <f t="shared" si="0"/>
        <v>0</v>
      </c>
    </row>
    <row r="26" spans="1:15" ht="12.75">
      <c r="A26" s="4" t="s">
        <v>79</v>
      </c>
      <c r="B26" s="4">
        <f>GENERAL!F37</f>
        <v>0</v>
      </c>
      <c r="C26" s="4" t="e">
        <f>STREET!#REF!</f>
        <v>#REF!</v>
      </c>
      <c r="D26" s="4">
        <f>'COMMUNITY IMPROVEMENT'!F29</f>
        <v>1000</v>
      </c>
      <c r="E26" s="4" t="e">
        <f>'ELECTRIC PLANT'!#REF!</f>
        <v>#REF!</v>
      </c>
      <c r="G26" s="4" t="e">
        <f>+KENO!#REF!</f>
        <v>#REF!</v>
      </c>
      <c r="I26" s="4" t="e">
        <f>+POOL!#REF!</f>
        <v>#REF!</v>
      </c>
      <c r="K26" s="4">
        <f>'DEBT SERVICE'!F28</f>
        <v>700</v>
      </c>
      <c r="L26" s="4">
        <f>WATER!F36</f>
        <v>0</v>
      </c>
      <c r="M26" s="4" t="e">
        <f>SEWER!#REF!</f>
        <v>#REF!</v>
      </c>
      <c r="N26" s="4">
        <f>+'SOLID WASTE-TRANSFER'!F33</f>
        <v>500</v>
      </c>
      <c r="O26" s="4" t="e">
        <f t="shared" si="0"/>
        <v>#REF!</v>
      </c>
    </row>
    <row r="27" spans="1:15" ht="12.75">
      <c r="A27" s="8" t="s">
        <v>80</v>
      </c>
      <c r="B27" s="4" t="e">
        <f>GENERAL!#REF!+GENERAL!#REF!+GENERAL!#REF!</f>
        <v>#REF!</v>
      </c>
      <c r="L27" s="4">
        <f>WATER!F34+WATER!F35</f>
        <v>160000</v>
      </c>
      <c r="M27" s="4" t="e">
        <f>SEWER!#REF!+SEWER!#REF!</f>
        <v>#REF!</v>
      </c>
      <c r="N27" s="4">
        <f>SUM('SOLID WASTE-TRANSFER'!F34:F35)</f>
        <v>400100</v>
      </c>
      <c r="O27" s="4" t="e">
        <f t="shared" si="0"/>
        <v>#REF!</v>
      </c>
    </row>
    <row r="28" spans="1:15" ht="12.75">
      <c r="A28" s="4" t="s">
        <v>81</v>
      </c>
      <c r="B28" s="4">
        <f>GENERAL!F45</f>
        <v>0</v>
      </c>
      <c r="C28" s="4" t="e">
        <f>+STREET!#REF!</f>
        <v>#REF!</v>
      </c>
      <c r="L28" s="4" t="e">
        <f>+WATER!#REF!</f>
        <v>#REF!</v>
      </c>
      <c r="N28" s="4" t="e">
        <f>SUM('SOLID WASTE-TRANSFER'!#REF!)</f>
        <v>#REF!</v>
      </c>
      <c r="O28" s="4" t="e">
        <f t="shared" si="0"/>
        <v>#REF!</v>
      </c>
    </row>
    <row r="29" spans="1:15" ht="12.75">
      <c r="A29" s="4" t="s">
        <v>106</v>
      </c>
      <c r="F29" s="4" t="e">
        <f>'HOUSING AUTHORITY'!#REF!</f>
        <v>#REF!</v>
      </c>
      <c r="H29" s="4">
        <f>'COMMUNITY DEVELOPMENT'!F21</f>
        <v>0</v>
      </c>
      <c r="J29" s="4" t="e">
        <f>+HANDIBUS!#REF!</f>
        <v>#REF!</v>
      </c>
      <c r="N29" s="4">
        <f>+'SOLID WASTE-TRANSFER'!F38</f>
        <v>0</v>
      </c>
      <c r="O29" s="4" t="e">
        <f t="shared" si="0"/>
        <v>#REF!</v>
      </c>
    </row>
    <row r="30" spans="1:15" ht="12.75">
      <c r="A30" s="4" t="s">
        <v>105</v>
      </c>
      <c r="O30" s="4">
        <f t="shared" si="0"/>
        <v>0</v>
      </c>
    </row>
    <row r="31" spans="1:15" ht="12.75">
      <c r="A31" s="4" t="s">
        <v>82</v>
      </c>
      <c r="B31" s="4">
        <f>+GENERAL!F41</f>
        <v>25000</v>
      </c>
      <c r="C31" s="4" t="e">
        <f>+STREET!#REF!</f>
        <v>#REF!</v>
      </c>
      <c r="D31" s="4">
        <f>+'COMMUNITY IMPROVEMENT'!F30</f>
        <v>93538</v>
      </c>
      <c r="N31" s="4" t="e">
        <f>+'SOLID WASTE-TRANSFER'!#REF!</f>
        <v>#REF!</v>
      </c>
      <c r="O31" s="4" t="e">
        <f t="shared" si="0"/>
        <v>#REF!</v>
      </c>
    </row>
    <row r="32" spans="1:15" ht="12.75">
      <c r="A32" s="4" t="s">
        <v>83</v>
      </c>
      <c r="B32" s="14" t="e">
        <f>GENERAL!#REF!+GENERAL!#REF!+GENERAL!#REF!+GENERAL!#REF!+GENERAL!#REF!+GENERAL!F38+GENERAL!F39+GENERAL!F40+GENERAL!F43+GENERAL!F44</f>
        <v>#REF!</v>
      </c>
      <c r="C32" s="14">
        <f>STREET!F35+STREET!F36</f>
        <v>1000</v>
      </c>
      <c r="D32" s="14">
        <f>+'COMMUNITY IMPROVEMENT'!F31+'COMMUNITY IMPROVEMENT'!F32</f>
        <v>0</v>
      </c>
      <c r="E32" s="14"/>
      <c r="F32" s="14"/>
      <c r="G32" s="14" t="e">
        <f>+KENO!#REF!</f>
        <v>#REF!</v>
      </c>
      <c r="H32" s="14"/>
      <c r="I32" s="14" t="e">
        <f>+POOL!F33+POOL!#REF!+POOL!F34+POOL!#REF!</f>
        <v>#REF!</v>
      </c>
      <c r="J32" s="14" t="e">
        <f>+HANDIBUS!#REF!+HANDIBUS!#REF!+HANDIBUS!#REF!+HANDIBUS!#REF!</f>
        <v>#REF!</v>
      </c>
      <c r="K32" s="14">
        <f>'DEBT SERVICE'!F27</f>
        <v>0</v>
      </c>
      <c r="L32" s="14" t="e">
        <f>WATER!F32+WATER!#REF!</f>
        <v>#REF!</v>
      </c>
      <c r="M32" s="14" t="e">
        <f>SEWER!F34+SEWER!#REF!</f>
        <v>#REF!</v>
      </c>
      <c r="N32" s="14" t="e">
        <f>+'SOLID WASTE-TRANSFER'!#REF!</f>
        <v>#REF!</v>
      </c>
      <c r="O32" s="14" t="e">
        <f t="shared" si="0"/>
        <v>#REF!</v>
      </c>
    </row>
    <row r="33" spans="1:16" ht="12.75">
      <c r="A33" s="8" t="s">
        <v>84</v>
      </c>
      <c r="B33" s="15" t="e">
        <f aca="true" t="shared" si="1" ref="B33:N33">SUM(B10:B32)</f>
        <v>#REF!</v>
      </c>
      <c r="C33" s="15" t="e">
        <f t="shared" si="1"/>
        <v>#REF!</v>
      </c>
      <c r="D33" s="15">
        <f t="shared" si="1"/>
        <v>214538</v>
      </c>
      <c r="E33" s="15" t="e">
        <f t="shared" si="1"/>
        <v>#REF!</v>
      </c>
      <c r="F33" s="15" t="e">
        <f t="shared" si="1"/>
        <v>#REF!</v>
      </c>
      <c r="G33" s="15" t="e">
        <f t="shared" si="1"/>
        <v>#REF!</v>
      </c>
      <c r="H33" s="15">
        <f t="shared" si="1"/>
        <v>0</v>
      </c>
      <c r="I33" s="15" t="e">
        <f>SUM(I10:I32)</f>
        <v>#REF!</v>
      </c>
      <c r="J33" s="15" t="e">
        <f>SUM(J10:J32)</f>
        <v>#REF!</v>
      </c>
      <c r="K33" s="15">
        <f t="shared" si="1"/>
        <v>257400</v>
      </c>
      <c r="L33" s="15" t="e">
        <f t="shared" si="1"/>
        <v>#REF!</v>
      </c>
      <c r="M33" s="15" t="e">
        <f t="shared" si="1"/>
        <v>#REF!</v>
      </c>
      <c r="N33" s="15" t="e">
        <f t="shared" si="1"/>
        <v>#REF!</v>
      </c>
      <c r="O33" s="14" t="e">
        <f>SUM(O10:O32)</f>
        <v>#REF!</v>
      </c>
      <c r="P33" s="9" t="e">
        <f>SUM(B33:N33)</f>
        <v>#REF!</v>
      </c>
    </row>
    <row r="35" spans="1:2" ht="12.75">
      <c r="A35" s="8" t="s">
        <v>4</v>
      </c>
      <c r="B35" s="3"/>
    </row>
    <row r="36" spans="1:15" ht="12.75">
      <c r="A36" s="4" t="s">
        <v>85</v>
      </c>
      <c r="B36" s="4" t="e">
        <f>J53</f>
        <v>#REF!</v>
      </c>
      <c r="C36" s="16">
        <f>STREET!F10+STREET!F11+STREET!F12+STREET!F13</f>
        <v>49290.28</v>
      </c>
      <c r="L36" s="4">
        <f>WATER!F10+WATER!F11++WATER!F12+WATER!F13</f>
        <v>45924.75</v>
      </c>
      <c r="M36" s="4">
        <f>SEWER!F9+SEWER!F10+SEWER!F11+SEWER!F13</f>
        <v>45316</v>
      </c>
      <c r="N36" s="4">
        <f>+'SOLID WASTE-TRANSFER'!F9+'SOLID WASTE-TRANSFER'!F10+'SOLID WASTE-TRANSFER'!F11+'SOLID WASTE-TRANSFER'!F12</f>
        <v>55217</v>
      </c>
      <c r="O36" s="4" t="e">
        <f aca="true" t="shared" si="2" ref="O36:O44">SUM(B36:N36)</f>
        <v>#REF!</v>
      </c>
    </row>
    <row r="37" spans="1:15" ht="12.75">
      <c r="A37" s="8" t="s">
        <v>86</v>
      </c>
      <c r="B37" s="4" t="e">
        <f>J54</f>
        <v>#REF!</v>
      </c>
      <c r="C37" s="16" t="e">
        <f>STREET!F14+STREET!F15+STREET!F16+STREET!F17+STREET!F18+STREET!F19+STREET!F20+STREET!#REF!+STREET!#REF!</f>
        <v>#REF!</v>
      </c>
      <c r="G37" s="4" t="e">
        <f>KENO!F10+KENO!#REF!</f>
        <v>#REF!</v>
      </c>
      <c r="H37" s="4">
        <f>+'COMMUNITY DEVELOPMENT'!F21</f>
        <v>0</v>
      </c>
      <c r="I37" s="4">
        <f>+POOL!F11+POOL!F12</f>
        <v>25920</v>
      </c>
      <c r="J37" s="4" t="e">
        <f>+HANDIBUS!F11+HANDIBUS!F12+HANDIBUS!F13+HANDIBUS!F15+HANDIBUS!F17+HANDIBUS!#REF!+HANDIBUS!#REF!</f>
        <v>#REF!</v>
      </c>
      <c r="L37" s="4" t="e">
        <f>WATER!F14+WATER!F15+WATER!F16+WATER!F17+WATER!F18+WATER!F19+WATER!F20+WATER!F21+WATER!F22+WATER!F23+WATER!#REF!+WATER!F24+WATER!F25</f>
        <v>#REF!</v>
      </c>
      <c r="M37" s="4" t="e">
        <f>SEWER!F14+SEWER!F15+SEWER!F16+SEWER!F17+SEWER!F18+SEWER!F19+SEWER!F20+SEWER!F21+SEWER!F23+SEWER!F24+SEWER!F25+SEWER!#REF!</f>
        <v>#REF!</v>
      </c>
      <c r="N37" s="4">
        <f>+'SOLID WASTE-TRANSFER'!F13+'SOLID WASTE-TRANSFER'!F14+'SOLID WASTE-TRANSFER'!F15+'SOLID WASTE-TRANSFER'!F16+'SOLID WASTE-TRANSFER'!F17+'SOLID WASTE-TRANSFER'!F18+'SOLID WASTE-TRANSFER'!F19+'SOLID WASTE-TRANSFER'!F20+'SOLID WASTE-TRANSFER'!F23+'SOLID WASTE-TRANSFER'!F24</f>
        <v>313274</v>
      </c>
      <c r="O37" s="4" t="e">
        <f t="shared" si="2"/>
        <v>#REF!</v>
      </c>
    </row>
    <row r="38" spans="1:16" ht="12.75">
      <c r="A38" s="4" t="s">
        <v>87</v>
      </c>
      <c r="B38" s="4" t="e">
        <f>J55+GENERAL!#REF!</f>
        <v>#REF!</v>
      </c>
      <c r="C38" s="16">
        <f>STREET!F23</f>
        <v>0</v>
      </c>
      <c r="E38" s="4">
        <f>SUM('ELECTRIC PLANT'!F9:F11)</f>
        <v>150189.28</v>
      </c>
      <c r="F38" s="4">
        <f>'HOUSING AUTHORITY'!F10</f>
        <v>0</v>
      </c>
      <c r="G38" s="4" t="e">
        <f>KENO!#REF!+KENO!#REF!</f>
        <v>#REF!</v>
      </c>
      <c r="L38" s="4" t="e">
        <f>WATER!#REF!-L39</f>
        <v>#REF!</v>
      </c>
      <c r="M38" s="4" t="e">
        <f>SEWER!#REF!-M39</f>
        <v>#REF!</v>
      </c>
      <c r="N38" s="4" t="e">
        <f>+'SOLID WASTE-TRANSFER'!#REF!</f>
        <v>#REF!</v>
      </c>
      <c r="O38" s="4" t="e">
        <f t="shared" si="2"/>
        <v>#REF!</v>
      </c>
      <c r="P38" s="9" t="e">
        <f>+O38+O39</f>
        <v>#REF!</v>
      </c>
    </row>
    <row r="39" spans="1:15" ht="12.75">
      <c r="A39" s="4" t="s">
        <v>183</v>
      </c>
      <c r="B39" s="4" t="e">
        <f>J56+GENERAL!#REF!</f>
        <v>#REF!</v>
      </c>
      <c r="C39" s="16">
        <f>+STREET!F21+STREET!F22</f>
        <v>12000</v>
      </c>
      <c r="D39" s="4">
        <f>SUM('COMMUNITY IMPROVEMENT'!F13:F19)</f>
        <v>367182</v>
      </c>
      <c r="L39" s="4">
        <v>300000</v>
      </c>
      <c r="M39" s="4">
        <v>170000</v>
      </c>
      <c r="O39" s="4" t="e">
        <f t="shared" si="2"/>
        <v>#REF!</v>
      </c>
    </row>
    <row r="40" spans="1:15" ht="12.75">
      <c r="A40" s="8" t="s">
        <v>88</v>
      </c>
      <c r="C40" s="16"/>
      <c r="O40" s="4">
        <f t="shared" si="2"/>
        <v>0</v>
      </c>
    </row>
    <row r="41" spans="1:15" ht="12.75">
      <c r="A41" s="4" t="s">
        <v>89</v>
      </c>
      <c r="B41" s="4">
        <f>J58</f>
        <v>0</v>
      </c>
      <c r="C41" s="16">
        <f>+STREET!F24</f>
        <v>0</v>
      </c>
      <c r="K41" s="4">
        <f>'DEBT SERVICE'!F12+'DEBT SERVICE'!F14+'DEBT SERVICE'!F11+'DEBT SERVICE'!F15+'DEBT SERVICE'!F16+'DEBT SERVICE'!F17</f>
        <v>246010</v>
      </c>
      <c r="N41" s="4" t="e">
        <f>+'SOLID WASTE-TRANSFER'!#REF!+'SOLID WASTE-TRANSFER'!#REF!+'SOLID WASTE-TRANSFER'!#REF!</f>
        <v>#REF!</v>
      </c>
      <c r="O41" s="4" t="e">
        <f t="shared" si="2"/>
        <v>#REF!</v>
      </c>
    </row>
    <row r="42" spans="1:15" ht="12.75">
      <c r="A42" s="4" t="s">
        <v>90</v>
      </c>
      <c r="B42" s="4">
        <f>J59</f>
        <v>0</v>
      </c>
      <c r="C42" s="16" t="e">
        <f>+STREET!#REF!</f>
        <v>#REF!</v>
      </c>
      <c r="K42" s="4">
        <f>'DEBT SERVICE'!F13</f>
        <v>0</v>
      </c>
      <c r="M42" s="4" t="e">
        <f>SEWER!#REF!</f>
        <v>#REF!</v>
      </c>
      <c r="N42" s="4" t="e">
        <f>+'SOLID WASTE-TRANSFER'!#REF!</f>
        <v>#REF!</v>
      </c>
      <c r="O42" s="4" t="e">
        <f t="shared" si="2"/>
        <v>#REF!</v>
      </c>
    </row>
    <row r="43" spans="1:15" ht="12.75">
      <c r="A43" s="4" t="s">
        <v>91</v>
      </c>
      <c r="B43" s="4" t="e">
        <f>J60+GENERAL!#REF!+GENERAL!#REF!+GENERAL!#REF!</f>
        <v>#REF!</v>
      </c>
      <c r="C43" s="16"/>
      <c r="J43" s="4">
        <f>+HANDIBUS!F23</f>
        <v>0</v>
      </c>
      <c r="M43" s="4" t="e">
        <f>+SEWER!#REF!</f>
        <v>#REF!</v>
      </c>
      <c r="N43" s="4" t="e">
        <f>+'SOLID WASTE-TRANSFER'!#REF!+'SOLID WASTE-TRANSFER'!#REF!</f>
        <v>#REF!</v>
      </c>
      <c r="O43" s="4" t="e">
        <f t="shared" si="2"/>
        <v>#REF!</v>
      </c>
    </row>
    <row r="44" spans="1:15" ht="12.75">
      <c r="A44" s="4" t="s">
        <v>92</v>
      </c>
      <c r="B44" s="14" t="e">
        <f>GENERAL!#REF!+GENERAL!#REF!+GENERAL!#REF!</f>
        <v>#REF!</v>
      </c>
      <c r="C44" s="1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 t="e">
        <f t="shared" si="2"/>
        <v>#REF!</v>
      </c>
    </row>
    <row r="45" spans="1:16" ht="12.75">
      <c r="A45" s="4" t="s">
        <v>93</v>
      </c>
      <c r="B45" s="15" t="e">
        <f aca="true" t="shared" si="3" ref="B45:M45">SUM(B36:B44)</f>
        <v>#REF!</v>
      </c>
      <c r="C45" s="15" t="e">
        <f t="shared" si="3"/>
        <v>#REF!</v>
      </c>
      <c r="D45" s="15">
        <f t="shared" si="3"/>
        <v>367182</v>
      </c>
      <c r="E45" s="15">
        <f t="shared" si="3"/>
        <v>150189.28</v>
      </c>
      <c r="F45" s="15">
        <f t="shared" si="3"/>
        <v>0</v>
      </c>
      <c r="G45" s="15" t="e">
        <f t="shared" si="3"/>
        <v>#REF!</v>
      </c>
      <c r="H45" s="15">
        <f t="shared" si="3"/>
        <v>0</v>
      </c>
      <c r="I45" s="15">
        <f>SUM(I37:I44)</f>
        <v>25920</v>
      </c>
      <c r="J45" s="15" t="e">
        <f>SUM(J37:J44)</f>
        <v>#REF!</v>
      </c>
      <c r="K45" s="15">
        <f t="shared" si="3"/>
        <v>246010</v>
      </c>
      <c r="L45" s="15" t="e">
        <f t="shared" si="3"/>
        <v>#REF!</v>
      </c>
      <c r="M45" s="15" t="e">
        <f t="shared" si="3"/>
        <v>#REF!</v>
      </c>
      <c r="N45" s="15" t="e">
        <f>SUM(N36:N44)</f>
        <v>#REF!</v>
      </c>
      <c r="O45" s="14" t="e">
        <f>SUM(O36:O44)</f>
        <v>#REF!</v>
      </c>
      <c r="P45" s="9" t="e">
        <f>SUM(B45:N45)</f>
        <v>#REF!</v>
      </c>
    </row>
    <row r="46" spans="2:12" ht="12.75">
      <c r="B46" s="15"/>
      <c r="C46" s="15"/>
      <c r="D46" s="15"/>
      <c r="E46" s="15"/>
      <c r="G46" s="15"/>
      <c r="H46" s="15"/>
      <c r="I46" s="15"/>
      <c r="J46" s="15"/>
      <c r="K46" s="15"/>
      <c r="L46" s="15"/>
    </row>
    <row r="47" spans="1:15" ht="12.75">
      <c r="A47" s="4" t="s">
        <v>94</v>
      </c>
      <c r="B47" s="14" t="e">
        <f>B7+B33-B45</f>
        <v>#REF!</v>
      </c>
      <c r="C47" s="14" t="e">
        <f>C7+C33-C45</f>
        <v>#REF!</v>
      </c>
      <c r="D47" s="14">
        <f>D7+D33-D45</f>
        <v>0</v>
      </c>
      <c r="E47" s="14" t="e">
        <f>E7+E33-E45</f>
        <v>#REF!</v>
      </c>
      <c r="F47" s="14" t="e">
        <f>F7+F33-F45</f>
        <v>#REF!</v>
      </c>
      <c r="G47" s="14" t="e">
        <f>+G7+G33-G45</f>
        <v>#REF!</v>
      </c>
      <c r="H47" s="14">
        <f aca="true" t="shared" si="4" ref="H47:O47">H7+H33-H45</f>
        <v>0</v>
      </c>
      <c r="I47" s="14" t="e">
        <f t="shared" si="4"/>
        <v>#REF!</v>
      </c>
      <c r="J47" s="14" t="e">
        <f t="shared" si="4"/>
        <v>#REF!</v>
      </c>
      <c r="K47" s="14">
        <f t="shared" si="4"/>
        <v>54617</v>
      </c>
      <c r="L47" s="14" t="e">
        <f t="shared" si="4"/>
        <v>#REF!</v>
      </c>
      <c r="M47" s="14" t="e">
        <f t="shared" si="4"/>
        <v>#REF!</v>
      </c>
      <c r="N47" s="14" t="e">
        <f t="shared" si="4"/>
        <v>#REF!</v>
      </c>
      <c r="O47" s="14" t="e">
        <f t="shared" si="4"/>
        <v>#REF!</v>
      </c>
    </row>
    <row r="48" spans="1:15" ht="12.75">
      <c r="A48" s="4" t="s">
        <v>233</v>
      </c>
      <c r="B48" s="4">
        <f>+GENERAL!F21</f>
        <v>0</v>
      </c>
      <c r="C48" s="4" t="e">
        <f>+STREET!#REF!</f>
        <v>#REF!</v>
      </c>
      <c r="D48" s="4">
        <f>+'COMMUNITY IMPROVEMENT'!F22</f>
        <v>0</v>
      </c>
      <c r="E48" s="4" t="e">
        <f>+'ELECTRIC PLANT'!#REF!</f>
        <v>#REF!</v>
      </c>
      <c r="F48" s="4" t="e">
        <f>+'HOUSING AUTHORITY'!#REF!</f>
        <v>#REF!</v>
      </c>
      <c r="G48" s="4" t="e">
        <f>+KENO!#REF!</f>
        <v>#REF!</v>
      </c>
      <c r="H48" s="4" t="e">
        <f>+'COMMUNITY DEVELOPMENT'!#REF!</f>
        <v>#REF!</v>
      </c>
      <c r="I48" s="4" t="e">
        <f>+POOL!#REF!</f>
        <v>#REF!</v>
      </c>
      <c r="J48" s="4" t="e">
        <f>+HANDIBUS!#REF!+HANDIBUS!#REF!</f>
        <v>#REF!</v>
      </c>
      <c r="K48" s="4">
        <f>+'DEBT SERVICE'!F19</f>
        <v>54617</v>
      </c>
      <c r="L48" s="4" t="e">
        <f>+WATER!#REF!</f>
        <v>#REF!</v>
      </c>
      <c r="M48" s="4" t="e">
        <f>+SEWER!#REF!</f>
        <v>#REF!</v>
      </c>
      <c r="N48" s="4" t="e">
        <f>+'SOLID WASTE-TRANSFER'!#REF!</f>
        <v>#REF!</v>
      </c>
      <c r="O48" s="4" t="e">
        <f>SUM(B48:N48)</f>
        <v>#REF!</v>
      </c>
    </row>
    <row r="50" ht="12.75">
      <c r="A50" s="8"/>
    </row>
    <row r="51" spans="1:10" ht="12.75">
      <c r="A51" s="8" t="s">
        <v>95</v>
      </c>
      <c r="B51" s="18" t="s">
        <v>180</v>
      </c>
      <c r="C51" s="11" t="s">
        <v>38</v>
      </c>
      <c r="D51" s="11" t="s">
        <v>181</v>
      </c>
      <c r="E51" s="11" t="s">
        <v>61</v>
      </c>
      <c r="F51" s="11"/>
      <c r="G51" s="11" t="s">
        <v>203</v>
      </c>
      <c r="H51" s="11" t="s">
        <v>108</v>
      </c>
      <c r="I51" s="11" t="s">
        <v>60</v>
      </c>
      <c r="J51" s="11" t="s">
        <v>59</v>
      </c>
    </row>
    <row r="52" spans="1:2" ht="12.75">
      <c r="A52" s="8" t="s">
        <v>179</v>
      </c>
      <c r="B52" s="19"/>
    </row>
    <row r="53" spans="1:10" ht="12.75">
      <c r="A53" s="8" t="s">
        <v>171</v>
      </c>
      <c r="B53" s="19" t="e">
        <f>ADMINISTRATION!F9+ADMINISTRATION!F12+ADMINISTRATION!#REF!++ADMINISTRATION!F10+ADMINISTRATION!F11</f>
        <v>#REF!</v>
      </c>
      <c r="C53" s="4">
        <f>+POLICE!F13+POLICE!F10+POLICE!F11+POLICE!F12</f>
        <v>163211.11</v>
      </c>
      <c r="D53" s="4" t="e">
        <f>+#REF!+#REF!</f>
        <v>#REF!</v>
      </c>
      <c r="E53" s="4">
        <f>+'C&amp;D Site'!F11+'C&amp;D Site'!F10</f>
        <v>9689</v>
      </c>
      <c r="G53" s="4" t="e">
        <f>+LB840!#REF!+LB840!F11+LB840!F18+LB840!#REF!</f>
        <v>#REF!</v>
      </c>
      <c r="H53" s="4" t="e">
        <f>+PARK!F12+PARK!F10+PARK!#REF!+PARK!F11</f>
        <v>#REF!</v>
      </c>
      <c r="I53" s="4">
        <f>+LIBRARY!F13+LIBRARY!F10+LIBRARY!F11+LIBRARY!F12</f>
        <v>41273.01</v>
      </c>
      <c r="J53" s="4" t="e">
        <f>SUM(B53:I53)</f>
        <v>#REF!</v>
      </c>
    </row>
    <row r="54" spans="1:10" ht="12.75">
      <c r="A54" s="8" t="s">
        <v>172</v>
      </c>
      <c r="B54" s="19">
        <f>ADMINISTRATION!F17+ADMINISTRATION!F13+ADMINISTRATION!F14+ADMINISTRATION!F15+ADMINISTRATION!F16+ADMINISTRATION!F19+ADMINISTRATION!F20</f>
        <v>76619</v>
      </c>
      <c r="C54" s="4" t="e">
        <f>+POLICE!F19+POLICE!F14+POLICE!F15+POLICE!F16+POLICE!F17+POLICE!F18+POLICE!#REF!+POLICE!F23+POLICE!#REF!+POLICE!#REF!+POLICE!#REF!</f>
        <v>#REF!</v>
      </c>
      <c r="D54" s="4" t="e">
        <f>+#REF!+#REF!+#REF!+#REF!+#REF!+#REF!+#REF!+#REF!+#REF!+#REF!</f>
        <v>#REF!</v>
      </c>
      <c r="E54" s="4" t="e">
        <f>+'C&amp;D Site'!F15+'C&amp;D Site'!F12+'C&amp;D Site'!F13+'C&amp;D Site'!F14+'C&amp;D Site'!F19+'C&amp;D Site'!#REF!+'C&amp;D Site'!#REF!+'C&amp;D Site'!F16</f>
        <v>#REF!</v>
      </c>
      <c r="G54" s="4" t="e">
        <f>+LB840!#REF!+LB840!#REF!+LB840!#REF!+LB840!#REF!+LB840!#REF!-G56</f>
        <v>#REF!</v>
      </c>
      <c r="H54" s="4">
        <f>+PARK!F15+PARK!F13+PARK!F14+PARK!F17+PARK!F21</f>
        <v>2991.8</v>
      </c>
      <c r="I54" s="3">
        <f>+LIBRARY!F18+LIBRARY!F19+LIBRARY!F16+LIBRARY!F15+LIBRARY!F14+LIBRARY!F17+LIBRARY!F20</f>
        <v>22163.58</v>
      </c>
      <c r="J54" s="4" t="e">
        <f>SUM(B54:I54)</f>
        <v>#REF!</v>
      </c>
    </row>
    <row r="55" spans="1:10" ht="12.75">
      <c r="A55" s="8" t="s">
        <v>173</v>
      </c>
      <c r="B55" s="19">
        <f>ADMINISTRATION!F21</f>
        <v>7500</v>
      </c>
      <c r="C55" s="4" t="e">
        <f>+POLICE!#REF!+POLICE!#REF!</f>
        <v>#REF!</v>
      </c>
      <c r="D55" s="4" t="e">
        <f>+#REF!</f>
        <v>#REF!</v>
      </c>
      <c r="E55" s="4" t="e">
        <f>+'C&amp;D Site'!#REF!</f>
        <v>#REF!</v>
      </c>
      <c r="G55" s="4" t="e">
        <f>+LB840!#REF!</f>
        <v>#REF!</v>
      </c>
      <c r="H55" s="4" t="e">
        <f>+PARK!#REF!</f>
        <v>#REF!</v>
      </c>
      <c r="I55" s="4">
        <f>+LIBRARY!F22-I56</f>
        <v>100</v>
      </c>
      <c r="J55" s="4" t="e">
        <f>SUM(B55:I55)</f>
        <v>#REF!</v>
      </c>
    </row>
    <row r="56" spans="1:10" ht="12.75">
      <c r="A56" s="8" t="s">
        <v>174</v>
      </c>
      <c r="B56" s="19"/>
      <c r="H56" s="4">
        <f>+PARK!F19+PARK!F20</f>
        <v>1500</v>
      </c>
      <c r="J56" s="4">
        <f>SUM(B56:I56)</f>
        <v>1500</v>
      </c>
    </row>
    <row r="57" spans="1:2" ht="12.75">
      <c r="A57" s="8" t="s">
        <v>175</v>
      </c>
      <c r="B57" s="19"/>
    </row>
    <row r="58" spans="1:10" ht="12.75">
      <c r="A58" s="8" t="s">
        <v>178</v>
      </c>
      <c r="B58" s="19"/>
      <c r="J58" s="4">
        <f>SUM(B58:I58)</f>
        <v>0</v>
      </c>
    </row>
    <row r="59" spans="1:10" ht="12.75">
      <c r="A59" s="8" t="s">
        <v>177</v>
      </c>
      <c r="B59" s="19"/>
      <c r="J59" s="4">
        <f>SUM(B59:I59)</f>
        <v>0</v>
      </c>
    </row>
    <row r="60" spans="1:10" ht="12.75">
      <c r="A60" s="4" t="s">
        <v>176</v>
      </c>
      <c r="B60" s="68" t="e">
        <f>ADMINISTRATION!#REF!+ADMINISTRATION!F24+ADMINISTRATION!#REF!+ADMINISTRATION!#REF!+ADMINISTRATION!F18+ADMINISTRATION!#REF!</f>
        <v>#REF!</v>
      </c>
      <c r="C60" s="14">
        <f>+POLICE!F22</f>
        <v>12500</v>
      </c>
      <c r="D60" s="14" t="e">
        <f>+#REF!+#REF!</f>
        <v>#REF!</v>
      </c>
      <c r="E60" s="14" t="e">
        <f>+'C&amp;D Site'!F18+'C&amp;D Site'!#REF!+'C&amp;D Site'!#REF!</f>
        <v>#REF!</v>
      </c>
      <c r="F60" s="14"/>
      <c r="G60" s="14" t="e">
        <f>+LB840!#REF!</f>
        <v>#REF!</v>
      </c>
      <c r="H60" s="14">
        <f>+PARK!F16</f>
        <v>100</v>
      </c>
      <c r="I60" s="14" t="e">
        <f>+LIBRARY!#REF!</f>
        <v>#REF!</v>
      </c>
      <c r="J60" s="14" t="e">
        <f>SUM(B60:I60)</f>
        <v>#REF!</v>
      </c>
    </row>
    <row r="61" spans="1:10" ht="12.75">
      <c r="A61" s="4" t="s">
        <v>182</v>
      </c>
      <c r="B61" s="4" t="e">
        <f aca="true" t="shared" si="5" ref="B61:J61">SUM(B53:B60)</f>
        <v>#REF!</v>
      </c>
      <c r="C61" s="4" t="e">
        <f t="shared" si="5"/>
        <v>#REF!</v>
      </c>
      <c r="D61" s="4" t="e">
        <f t="shared" si="5"/>
        <v>#REF!</v>
      </c>
      <c r="E61" s="4" t="e">
        <f t="shared" si="5"/>
        <v>#REF!</v>
      </c>
      <c r="G61" s="4" t="e">
        <f t="shared" si="5"/>
        <v>#REF!</v>
      </c>
      <c r="H61" s="4" t="e">
        <f t="shared" si="5"/>
        <v>#REF!</v>
      </c>
      <c r="I61" s="4" t="e">
        <f t="shared" si="5"/>
        <v>#REF!</v>
      </c>
      <c r="J61" s="4" t="e">
        <f t="shared" si="5"/>
        <v>#REF!</v>
      </c>
    </row>
  </sheetData>
  <sheetProtection/>
  <printOptions headings="1"/>
  <pageMargins left="0.5" right="0.5" top="0.5" bottom="0.5" header="0.25" footer="0.25"/>
  <pageSetup horizontalDpi="300" verticalDpi="300" orientation="landscape" scale="55" r:id="rId1"/>
  <headerFooter alignWithMargins="0">
    <oddFooter>&amp;C&amp;"Courier,Bold"&amp;12Page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30.50390625" style="2" customWidth="1"/>
    <col min="2" max="4" width="10.625" style="6" customWidth="1"/>
    <col min="5" max="5" width="12.125" style="2" customWidth="1"/>
    <col min="6" max="16384" width="9.00390625" style="2" customWidth="1"/>
  </cols>
  <sheetData>
    <row r="1" spans="1:5" ht="12.75">
      <c r="A1" s="1" t="s">
        <v>112</v>
      </c>
      <c r="B1" s="87" t="s">
        <v>3</v>
      </c>
      <c r="C1" s="87" t="s">
        <v>207</v>
      </c>
      <c r="D1" s="87" t="s">
        <v>191</v>
      </c>
      <c r="E1" s="1" t="s">
        <v>191</v>
      </c>
    </row>
    <row r="2" spans="1:5" ht="12.75">
      <c r="A2" s="1" t="s">
        <v>113</v>
      </c>
      <c r="B2" s="87" t="s">
        <v>211</v>
      </c>
      <c r="C2" s="87" t="s">
        <v>212</v>
      </c>
      <c r="D2" s="87" t="s">
        <v>211</v>
      </c>
      <c r="E2" s="1" t="s">
        <v>212</v>
      </c>
    </row>
    <row r="4" spans="1:5" ht="12.75">
      <c r="A4" s="2" t="s">
        <v>114</v>
      </c>
      <c r="B4" s="6" t="e">
        <f>+'PLAINVIEW 07-08'!O7-B5-B6</f>
        <v>#REF!</v>
      </c>
      <c r="C4" s="6" t="e">
        <f>+B26-C5-C6</f>
        <v>#REF!</v>
      </c>
      <c r="D4" s="6">
        <v>2756347</v>
      </c>
      <c r="E4" s="6" t="e">
        <f>+C26-E5-E6</f>
        <v>#REF!</v>
      </c>
    </row>
    <row r="5" spans="1:5" ht="12.75">
      <c r="A5" s="2" t="s">
        <v>115</v>
      </c>
      <c r="E5" s="6"/>
    </row>
    <row r="6" spans="1:5" ht="12.75">
      <c r="A6" s="2" t="s">
        <v>116</v>
      </c>
      <c r="B6" s="6">
        <v>91481</v>
      </c>
      <c r="C6" s="6">
        <v>61512</v>
      </c>
      <c r="D6" s="6">
        <v>80000</v>
      </c>
      <c r="E6" s="6">
        <v>80000</v>
      </c>
    </row>
    <row r="7" spans="1:5" ht="12.75">
      <c r="A7" s="2" t="s">
        <v>117</v>
      </c>
      <c r="B7" s="6" t="e">
        <f>SUM(B4:B6)</f>
        <v>#REF!</v>
      </c>
      <c r="C7" s="6" t="e">
        <f>SUM(C4:C6)</f>
        <v>#REF!</v>
      </c>
      <c r="D7" s="6">
        <f>SUM(D4:D6)</f>
        <v>2836347</v>
      </c>
      <c r="E7" s="2" t="e">
        <f>+C26</f>
        <v>#REF!</v>
      </c>
    </row>
    <row r="8" spans="1:5" ht="12.75">
      <c r="A8" s="2" t="s">
        <v>118</v>
      </c>
      <c r="B8" s="6" t="e">
        <f>'PLAINVIEW 07-08'!O10</f>
        <v>#REF!</v>
      </c>
      <c r="C8" s="6" t="e">
        <f>'PLAINVIEW 08-09'!O10</f>
        <v>#REF!</v>
      </c>
      <c r="D8" s="6">
        <v>721060</v>
      </c>
      <c r="E8" s="2" t="e">
        <f>'BUDGET SUMMARY 09-10'!O10</f>
        <v>#REF!</v>
      </c>
    </row>
    <row r="9" spans="1:5" ht="12.75">
      <c r="A9" s="2" t="s">
        <v>119</v>
      </c>
      <c r="B9" s="6" t="e">
        <f>'PLAINVIEW 07-08'!O31</f>
        <v>#REF!</v>
      </c>
      <c r="C9" s="6" t="e">
        <f>'PLAINVIEW 08-09'!O31</f>
        <v>#REF!</v>
      </c>
      <c r="D9" s="6">
        <v>121738</v>
      </c>
      <c r="E9" s="2" t="e">
        <f>'BUDGET SUMMARY 09-10'!O31</f>
        <v>#REF!</v>
      </c>
    </row>
    <row r="10" spans="1:5" ht="12.75">
      <c r="A10" s="2" t="s">
        <v>120</v>
      </c>
      <c r="B10" s="6">
        <f>'PLAINVIEW 07-08'!O16</f>
        <v>1556</v>
      </c>
      <c r="C10" s="6">
        <f>'PLAINVIEW 08-09'!O16</f>
        <v>1424</v>
      </c>
      <c r="D10" s="6">
        <v>2900</v>
      </c>
      <c r="E10" s="2">
        <f>'BUDGET SUMMARY 09-10'!O16</f>
        <v>1400</v>
      </c>
    </row>
    <row r="11" spans="1:5" ht="12.75">
      <c r="A11" s="2" t="s">
        <v>121</v>
      </c>
      <c r="B11" s="6">
        <f>'PLAINVIEW 07-08'!O24</f>
        <v>0</v>
      </c>
      <c r="C11" s="6">
        <f>'PLAINVIEW 08-09'!O24</f>
        <v>0</v>
      </c>
      <c r="D11" s="6">
        <v>0</v>
      </c>
      <c r="E11" s="2">
        <f>'BUDGET SUMMARY 09-10'!O24</f>
        <v>101091</v>
      </c>
    </row>
    <row r="12" spans="1:5" ht="12.75">
      <c r="A12" s="2" t="s">
        <v>122</v>
      </c>
      <c r="B12" s="6">
        <f>'PLAINVIEW 07-08'!O25+'PLAINVIEW 07-08'!O15</f>
        <v>26140.61</v>
      </c>
      <c r="C12" s="6">
        <f>'PLAINVIEW 08-09'!O25+'PLAINVIEW 08-09'!O15</f>
        <v>25192.99</v>
      </c>
      <c r="D12" s="6">
        <v>291432</v>
      </c>
      <c r="E12" s="2">
        <f>'BUDGET SUMMARY 09-10'!O25+'BUDGET SUMMARY 09-10'!O15</f>
        <v>25000</v>
      </c>
    </row>
    <row r="13" spans="1:5" ht="12.75">
      <c r="A13" s="2" t="s">
        <v>123</v>
      </c>
      <c r="B13" s="6">
        <f>'PLAINVIEW 07-08'!O12</f>
        <v>0</v>
      </c>
      <c r="C13" s="6">
        <f>'PLAINVIEW 08-09'!O12</f>
        <v>0</v>
      </c>
      <c r="D13" s="6">
        <v>27000</v>
      </c>
      <c r="E13" s="2">
        <f>'BUDGET SUMMARY 09-10'!O12</f>
        <v>0</v>
      </c>
    </row>
    <row r="14" spans="1:5" ht="12.75">
      <c r="A14" s="2" t="s">
        <v>124</v>
      </c>
      <c r="B14" s="6">
        <f>'PLAINVIEW 07-08'!O13</f>
        <v>5704</v>
      </c>
      <c r="C14" s="6" t="e">
        <f>'PLAINVIEW 08-09'!O13</f>
        <v>#VALUE!</v>
      </c>
      <c r="D14" s="6">
        <v>33991</v>
      </c>
      <c r="E14" s="2">
        <f>'BUDGET SUMMARY 09-10'!O13</f>
        <v>5904</v>
      </c>
    </row>
    <row r="15" spans="1:5" ht="12.75">
      <c r="A15" s="2" t="s">
        <v>125</v>
      </c>
      <c r="B15" s="6">
        <f>'PLAINVIEW 07-08'!O14</f>
        <v>90300.44</v>
      </c>
      <c r="C15" s="6">
        <f>'PLAINVIEW 08-09'!O14</f>
        <v>100223</v>
      </c>
      <c r="D15" s="6">
        <v>195337</v>
      </c>
      <c r="E15" s="2">
        <f>'BUDGET SUMMARY 09-10'!O14</f>
        <v>110943.07</v>
      </c>
    </row>
    <row r="16" spans="1:5" ht="12.75">
      <c r="A16" s="2" t="s">
        <v>126</v>
      </c>
      <c r="B16" s="6">
        <f>'PLAINVIEW 07-08'!O17+'PLAINVIEW 07-08'!O20</f>
        <v>195622.33</v>
      </c>
      <c r="C16" s="6">
        <f>'PLAINVIEW 08-09'!O17+'PLAINVIEW 08-09'!O20</f>
        <v>191043.16</v>
      </c>
      <c r="D16" s="6">
        <v>39500</v>
      </c>
      <c r="E16" s="2">
        <f>'BUDGET SUMMARY 09-10'!O17+'BUDGET SUMMARY 09-10'!O20</f>
        <v>180600</v>
      </c>
    </row>
    <row r="17" spans="1:5" ht="12.75">
      <c r="A17" s="2" t="s">
        <v>127</v>
      </c>
      <c r="B17" s="6">
        <f>'PLAINVIEW 07-08'!O11</f>
        <v>26140.61</v>
      </c>
      <c r="C17" s="6">
        <f>'PLAINVIEW 08-09'!O11</f>
        <v>25355.55</v>
      </c>
      <c r="D17" s="6">
        <v>62000</v>
      </c>
      <c r="E17" s="2">
        <f>'BUDGET SUMMARY 09-10'!O11</f>
        <v>25000</v>
      </c>
    </row>
    <row r="18" spans="1:5" ht="12.75">
      <c r="A18" s="2" t="s">
        <v>128</v>
      </c>
      <c r="B18" s="6" t="e">
        <f>'PLAINVIEW 07-08'!O21</f>
        <v>#REF!</v>
      </c>
      <c r="C18" s="6" t="e">
        <f>'PLAINVIEW 08-09'!O21</f>
        <v>#REF!</v>
      </c>
      <c r="D18" s="6">
        <v>472000</v>
      </c>
      <c r="E18" s="2" t="e">
        <f>'BUDGET SUMMARY 09-10'!O21</f>
        <v>#REF!</v>
      </c>
    </row>
    <row r="19" spans="1:5" ht="12.75">
      <c r="A19" s="2" t="s">
        <v>129</v>
      </c>
      <c r="B19" s="6" t="e">
        <f>'PLAINVIEW 07-08'!O18</f>
        <v>#REF!</v>
      </c>
      <c r="C19" s="6" t="e">
        <f>'PLAINVIEW 08-09'!O18</f>
        <v>#REF!</v>
      </c>
      <c r="D19" s="6">
        <v>46000</v>
      </c>
      <c r="E19" s="2" t="e">
        <f>'BUDGET SUMMARY 09-10'!O18</f>
        <v>#REF!</v>
      </c>
    </row>
    <row r="20" spans="1:5" ht="12.75">
      <c r="A20" s="2" t="s">
        <v>130</v>
      </c>
      <c r="B20" s="6" t="e">
        <f>+'PLAINVIEW 07-08'!O19+'PLAINVIEW 07-08'!O22+'PLAINVIEW 07-08'!O23+'PLAINVIEW 07-08'!O26+'PLAINVIEW 07-08'!O27+'PLAINVIEW 07-08'!O29+'PLAINVIEW 07-08'!O32</f>
        <v>#REF!</v>
      </c>
      <c r="C20" s="6" t="e">
        <f>'PLAINVIEW 08-09'!O19+'PLAINVIEW 08-09'!O22+'PLAINVIEW 08-09'!O23+'PLAINVIEW 08-09'!O26+'PLAINVIEW 08-09'!O27+'PLAINVIEW 08-09'!O29+'PLAINVIEW 08-09'!O32</f>
        <v>#REF!</v>
      </c>
      <c r="D20" s="6">
        <v>2664891</v>
      </c>
      <c r="E20" s="2" t="e">
        <f>+'BUDGET SUMMARY 09-10'!O19+'BUDGET SUMMARY 09-10'!O22+'BUDGET SUMMARY 09-10'!O23+'BUDGET SUMMARY 09-10'!O26+'BUDGET SUMMARY 09-10'!O27+'BUDGET SUMMARY 09-10'!O29+'BUDGET SUMMARY 09-10'!O32</f>
        <v>#REF!</v>
      </c>
    </row>
    <row r="21" spans="1:5" ht="12.75">
      <c r="A21" s="2" t="s">
        <v>131</v>
      </c>
      <c r="C21" s="6">
        <f>'PLAINVIEW 08-09'!K28</f>
        <v>0</v>
      </c>
      <c r="D21" s="6">
        <v>0</v>
      </c>
      <c r="E21" s="2">
        <f>+'BUDGET SUMMARY 09-10'!K28</f>
        <v>0</v>
      </c>
    </row>
    <row r="22" spans="1:5" ht="12.75">
      <c r="A22" s="2" t="s">
        <v>132</v>
      </c>
      <c r="B22" s="6" t="e">
        <f>'PLAINVIEW 07-08'!O28</f>
        <v>#REF!</v>
      </c>
      <c r="C22" s="6" t="e">
        <f>'PLAINVIEW 08-09'!O28-'PLAINVIEW 08-09'!K28</f>
        <v>#REF!</v>
      </c>
      <c r="D22" s="6">
        <v>170000</v>
      </c>
      <c r="E22" s="2" t="e">
        <f>'BUDGET SUMMARY 09-10'!O28-'BUDGET SUMMARY 09-10'!K28</f>
        <v>#REF!</v>
      </c>
    </row>
    <row r="23" ht="12.75">
      <c r="A23" s="2" t="s">
        <v>133</v>
      </c>
    </row>
    <row r="24" spans="1:5" ht="12.75">
      <c r="A24" s="2" t="s">
        <v>134</v>
      </c>
      <c r="B24" s="6" t="e">
        <f>SUM(B7:B23)</f>
        <v>#REF!</v>
      </c>
      <c r="C24" s="6" t="e">
        <f>SUM(C7:C23)</f>
        <v>#REF!</v>
      </c>
      <c r="D24" s="6">
        <f>SUM(D7:D23)</f>
        <v>7684196</v>
      </c>
      <c r="E24" s="2" t="e">
        <f>SUM(E7:E23)</f>
        <v>#REF!</v>
      </c>
    </row>
    <row r="25" spans="1:5" ht="12.75">
      <c r="A25" s="2" t="s">
        <v>135</v>
      </c>
      <c r="B25" s="6" t="e">
        <f>'BUDGET PG5'!G29</f>
        <v>#REF!</v>
      </c>
      <c r="C25" s="6" t="e">
        <f>+'BUDGET PG4'!G29</f>
        <v>#REF!</v>
      </c>
      <c r="D25" s="6">
        <v>6342909</v>
      </c>
      <c r="E25" s="2" t="e">
        <f>+'BUDGET PG3'!G29</f>
        <v>#REF!</v>
      </c>
    </row>
    <row r="26" spans="1:5" ht="12.75">
      <c r="A26" s="2" t="s">
        <v>136</v>
      </c>
      <c r="B26" s="6" t="e">
        <f>B24-B25</f>
        <v>#REF!</v>
      </c>
      <c r="C26" s="6" t="e">
        <f>C24-C25</f>
        <v>#REF!</v>
      </c>
      <c r="D26" s="6">
        <f>+D24-D25</f>
        <v>1341287</v>
      </c>
      <c r="E26" s="2" t="e">
        <f>E24-E25</f>
        <v>#REF!</v>
      </c>
    </row>
  </sheetData>
  <sheetProtection/>
  <printOptions/>
  <pageMargins left="0.75" right="0.75" top="1" bottom="1" header="0.5" footer="0.5"/>
  <pageSetup horizontalDpi="300" verticalDpi="300" orientation="portrait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selection activeCell="C18" sqref="C18"/>
    </sheetView>
  </sheetViews>
  <sheetFormatPr defaultColWidth="9.00390625" defaultRowHeight="12.75"/>
  <cols>
    <col min="1" max="1" width="20.00390625" style="109" customWidth="1"/>
    <col min="2" max="2" width="11.125" style="109" customWidth="1"/>
    <col min="3" max="3" width="9.75390625" style="109" customWidth="1"/>
    <col min="4" max="4" width="8.75390625" style="109" bestFit="1" customWidth="1"/>
    <col min="5" max="16384" width="9.00390625" style="109" customWidth="1"/>
  </cols>
  <sheetData>
    <row r="1" ht="15">
      <c r="A1" s="108" t="s">
        <v>254</v>
      </c>
    </row>
    <row r="2" spans="1:7" ht="12.75">
      <c r="A2" s="110" t="s">
        <v>137</v>
      </c>
      <c r="B2" s="110" t="s">
        <v>138</v>
      </c>
      <c r="C2" s="110" t="s">
        <v>139</v>
      </c>
      <c r="D2" s="110" t="s">
        <v>140</v>
      </c>
      <c r="E2" s="110" t="s">
        <v>141</v>
      </c>
      <c r="F2" s="110"/>
      <c r="G2" s="110"/>
    </row>
    <row r="3" spans="1:7" ht="12.75">
      <c r="A3" s="111" t="s">
        <v>142</v>
      </c>
      <c r="B3" s="111" t="s">
        <v>143</v>
      </c>
      <c r="C3" s="111" t="s">
        <v>144</v>
      </c>
      <c r="D3" s="111" t="s">
        <v>145</v>
      </c>
      <c r="E3" s="111" t="s">
        <v>146</v>
      </c>
      <c r="F3" s="111" t="s">
        <v>140</v>
      </c>
      <c r="G3" s="111" t="s">
        <v>30</v>
      </c>
    </row>
    <row r="4" spans="1:7" ht="12.75">
      <c r="A4" s="112"/>
      <c r="B4" s="112"/>
      <c r="C4" s="112"/>
      <c r="D4" s="112"/>
      <c r="E4" s="112"/>
      <c r="F4" s="112"/>
      <c r="G4" s="112"/>
    </row>
    <row r="5" ht="12.75">
      <c r="A5" s="109" t="s">
        <v>147</v>
      </c>
    </row>
    <row r="6" spans="1:7" ht="12.75">
      <c r="A6" s="109" t="s">
        <v>148</v>
      </c>
      <c r="B6" s="109" t="e">
        <f>+'BUDGET SUMMARY 09-10'!B53+'BUDGET SUMMARY 09-10'!B54+'BUDGET SUMMARY 09-10'!B60+GENERAL!#REF!+GENERAL!#REF!+GENERAL!#REF!+'BUDGET SUMMARY 09-10'!F53+'BUDGET SUMMARY 09-10'!F54+'BUDGET SUMMARY 09-10'!F60</f>
        <v>#REF!</v>
      </c>
      <c r="C6" s="109" t="e">
        <f>+'BUDGET SUMMARY 09-10'!B56+'BUDGET SUMMARY 09-10'!B39-'BUDGET PG3'!C13</f>
        <v>#REF!</v>
      </c>
      <c r="D6" s="109">
        <f>+'BUDGET SUMMARY 09-10'!B55</f>
        <v>7500</v>
      </c>
      <c r="E6" s="109">
        <f>+'BUDGET SUMMARY 09-10'!B58+'BUDGET SUMMARY 09-10'!B59</f>
        <v>0</v>
      </c>
      <c r="F6" s="109" t="e">
        <f>+'BUDGET SUMMARY 09-10'!B44</f>
        <v>#REF!</v>
      </c>
      <c r="G6" s="109" t="e">
        <f aca="true" t="shared" si="0" ref="G6:G14">SUM(B6:F6)</f>
        <v>#REF!</v>
      </c>
    </row>
    <row r="7" spans="1:7" ht="12.75">
      <c r="A7" s="109" t="s">
        <v>149</v>
      </c>
      <c r="B7" s="109" t="e">
        <f>+'BUDGET SUMMARY 09-10'!C53+'BUDGET SUMMARY 09-10'!C54+'BUDGET SUMMARY 09-10'!D53+'BUDGET SUMMARY 09-10'!D54+'BUDGET SUMMARY 09-10'!C60+'BUDGET SUMMARY 09-10'!D60</f>
        <v>#REF!</v>
      </c>
      <c r="C7" s="109">
        <f>+'BUDGET SUMMARY 09-10'!C56+'BUDGET SUMMARY 09-10'!D56</f>
        <v>0</v>
      </c>
      <c r="D7" s="109" t="e">
        <f>+'BUDGET SUMMARY 09-10'!C55+'BUDGET SUMMARY 09-10'!D55</f>
        <v>#REF!</v>
      </c>
      <c r="E7" s="109">
        <f>+'BUDGET SUMMARY 09-10'!C58+'BUDGET SUMMARY 09-10'!C59+'BUDGET SUMMARY 09-10'!D58+'BUDGET SUMMARY 09-10'!D59</f>
        <v>0</v>
      </c>
      <c r="G7" s="109" t="e">
        <f t="shared" si="0"/>
        <v>#REF!</v>
      </c>
    </row>
    <row r="8" spans="1:7" ht="12.75">
      <c r="A8" s="109" t="s">
        <v>150</v>
      </c>
      <c r="B8" s="109" t="e">
        <f>+'BUDGET SUMMARY 09-10'!E53+'BUDGET SUMMARY 09-10'!E54+'BUDGET SUMMARY 09-10'!E60</f>
        <v>#REF!</v>
      </c>
      <c r="C8" s="109">
        <f>'BUDGET SUMMARY 09-10'!E56</f>
        <v>0</v>
      </c>
      <c r="D8" s="109" t="e">
        <f>'BUDGET SUMMARY 09-10'!E55</f>
        <v>#REF!</v>
      </c>
      <c r="E8" s="109">
        <f>+'BUDGET SUMMARY 09-10'!E59+'BUDGET SUMMARY 09-10'!E58</f>
        <v>0</v>
      </c>
      <c r="G8" s="109" t="e">
        <f t="shared" si="0"/>
        <v>#REF!</v>
      </c>
    </row>
    <row r="9" spans="1:7" ht="12.75">
      <c r="A9" s="114" t="s">
        <v>151</v>
      </c>
      <c r="B9" s="109" t="e">
        <f>+'BUDGET SUMMARY 09-10'!C36+'BUDGET SUMMARY 09-10'!C37+'BUDGET SUMMARY 09-10'!C43</f>
        <v>#REF!</v>
      </c>
      <c r="C9" s="109">
        <f>+'BUDGET SUMMARY 09-10'!C39</f>
        <v>12000</v>
      </c>
      <c r="D9" s="109">
        <f>'BUDGET SUMMARY 09-10'!C38</f>
        <v>0</v>
      </c>
      <c r="E9" s="109" t="e">
        <f>+'BUDGET SUMMARY 09-10'!C42+'BUDGET SUMMARY 09-10'!C41</f>
        <v>#REF!</v>
      </c>
      <c r="F9" s="109">
        <f>+'BUDGET SUMMARY 09-10'!C44</f>
        <v>0</v>
      </c>
      <c r="G9" s="109" t="e">
        <f t="shared" si="0"/>
        <v>#REF!</v>
      </c>
    </row>
    <row r="10" ht="12.75">
      <c r="A10" s="109" t="s">
        <v>152</v>
      </c>
    </row>
    <row r="11" ht="12.75">
      <c r="A11" s="109" t="s">
        <v>153</v>
      </c>
    </row>
    <row r="12" spans="1:7" ht="12.75">
      <c r="A12" s="109" t="s">
        <v>154</v>
      </c>
      <c r="B12" s="109" t="e">
        <f>+'BUDGET SUMMARY 09-10'!G53+'BUDGET SUMMARY 09-10'!G54+'BUDGET SUMMARY 09-10'!G60</f>
        <v>#REF!</v>
      </c>
      <c r="C12" s="109">
        <f>'BUDGET SUMMARY 09-10'!G56</f>
        <v>0</v>
      </c>
      <c r="D12" s="109" t="e">
        <f>'BUDGET SUMMARY 09-10'!G55</f>
        <v>#REF!</v>
      </c>
      <c r="E12" s="109">
        <f>+'BUDGET SUMMARY 09-10'!G59+'BUDGET SUMMARY 09-10'!G58</f>
        <v>0</v>
      </c>
      <c r="G12" s="109" t="e">
        <f>SUM(B12:F12)</f>
        <v>#REF!</v>
      </c>
    </row>
    <row r="13" spans="1:7" ht="12.75">
      <c r="A13" s="109" t="s">
        <v>155</v>
      </c>
      <c r="B13" s="109" t="e">
        <f>+'BUDGET SUMMARY 09-10'!H53+'BUDGET SUMMARY 09-10'!H54+'BUDGET SUMMARY 09-10'!I53+'BUDGET SUMMARY 09-10'!I54+'BUDGET SUMMARY 09-10'!H60+'BUDGET SUMMARY 09-10'!I60</f>
        <v>#REF!</v>
      </c>
      <c r="C13" s="109">
        <f>'BUDGET SUMMARY 09-10'!H56+'BUDGET SUMMARY 09-10'!I56</f>
        <v>1500</v>
      </c>
      <c r="D13" s="109" t="e">
        <f>'BUDGET SUMMARY 09-10'!H55+'BUDGET SUMMARY 09-10'!I55+('BUDGET SUMMARY 09-10'!B38-'BUDGET PG3'!D6-'BUDGET PG3'!D7-'BUDGET PG3'!D8-'BUDGET PG3'!D12-32900)</f>
        <v>#REF!</v>
      </c>
      <c r="E13" s="109">
        <f>+'BUDGET SUMMARY 09-10'!H59+'BUDGET SUMMARY 09-10'!H58+'BUDGET SUMMARY 09-10'!I59+'BUDGET SUMMARY 09-10'!I58</f>
        <v>0</v>
      </c>
      <c r="G13" s="109" t="e">
        <f t="shared" si="0"/>
        <v>#REF!</v>
      </c>
    </row>
    <row r="14" spans="1:7" ht="12.75">
      <c r="A14" s="109" t="s">
        <v>156</v>
      </c>
      <c r="B14" s="109">
        <f>'BUDGET SUMMARY 09-10'!D36+'BUDGET SUMMARY 09-10'!D37+'BUDGET SUMMARY 09-10'!E36+'BUDGET SUMMARY 09-10'!E37+'BUDGET SUMMARY 09-10'!H36+'BUDGET SUMMARY 09-10'!H37+'BUDGET SUMMARY 09-10'!D43+'BUDGET SUMMARY 09-10'!E43+'BUDGET SUMMARY 09-10'!H43</f>
        <v>0</v>
      </c>
      <c r="C14" s="109">
        <f>'BUDGET SUMMARY 09-10'!D39+'BUDGET SUMMARY 09-10'!E39+'BUDGET SUMMARY 09-10'!H39</f>
        <v>367182</v>
      </c>
      <c r="D14" s="109">
        <f>'BUDGET SUMMARY 09-10'!D38+'BUDGET SUMMARY 09-10'!E38+'BUDGET SUMMARY 09-10'!H38</f>
        <v>150189.28</v>
      </c>
      <c r="E14" s="109">
        <f>+'BUDGET SUMMARY 09-10'!D41+'BUDGET SUMMARY 09-10'!D42+'BUDGET SUMMARY 09-10'!E42+'BUDGET SUMMARY 09-10'!E41+'BUDGET SUMMARY 09-10'!G41+'BUDGET SUMMARY 09-10'!G42</f>
        <v>0</v>
      </c>
      <c r="F14" s="109">
        <f>+'BUDGET SUMMARY 09-10'!D44+'BUDGET SUMMARY 09-10'!E44+'BUDGET SUMMARY 09-10'!G44+'BUDGET SUMMARY 09-10'!H44</f>
        <v>0</v>
      </c>
      <c r="G14" s="109">
        <f t="shared" si="0"/>
        <v>517371.28</v>
      </c>
    </row>
    <row r="15" spans="1:7" ht="12.75">
      <c r="A15" s="109" t="s">
        <v>157</v>
      </c>
      <c r="B15" s="109" t="e">
        <f>+'BUDGET SUMMARY 09-10'!F36+'BUDGET SUMMARY 09-10'!F37+'BUDGET SUMMARY 09-10'!F43+'BUDGET SUMMARY 09-10'!G37+'BUDGET SUMMARY 09-10'!G36+'BUDGET SUMMARY 09-10'!G43+'BUDGET SUMMARY 09-10'!I36+'BUDGET SUMMARY 09-10'!I37+'BUDGET SUMMARY 09-10'!I43+'BUDGET SUMMARY 09-10'!J36+'BUDGET SUMMARY 09-10'!J37+'BUDGET SUMMARY 09-10'!J43</f>
        <v>#REF!</v>
      </c>
      <c r="C15" s="109">
        <f>'BUDGET SUMMARY 09-10'!F39+'BUDGET SUMMARY 09-10'!G39+'BUDGET SUMMARY 09-10'!I39+'BUDGET SUMMARY 09-10'!J39</f>
        <v>0</v>
      </c>
      <c r="D15" s="109" t="e">
        <f>+'BUDGET SUMMARY 09-10'!F38+'BUDGET SUMMARY 09-10'!G38+'BUDGET SUMMARY 09-10'!I38+'BUDGET SUMMARY 09-10'!J38</f>
        <v>#REF!</v>
      </c>
      <c r="E15" s="109">
        <f>+'BUDGET SUMMARY 09-10'!J41+'BUDGET SUMMARY 09-10'!J42+'BUDGET SUMMARY 09-10'!K41+'BUDGET SUMMARY 09-10'!K42</f>
        <v>246010</v>
      </c>
      <c r="F15" s="109">
        <f>+'BUDGET SUMMARY 09-10'!F44+'BUDGET SUMMARY 09-10'!G44+'BUDGET SUMMARY 09-10'!I44+'BUDGET SUMMARY 09-10'!J44</f>
        <v>0</v>
      </c>
      <c r="G15" s="109" t="e">
        <f>SUM(B15:F15)</f>
        <v>#REF!</v>
      </c>
    </row>
    <row r="16" ht="12.75">
      <c r="A16" s="109" t="s">
        <v>158</v>
      </c>
    </row>
    <row r="17" spans="1:7" ht="12.75">
      <c r="A17" s="109" t="s">
        <v>159</v>
      </c>
      <c r="G17" s="109">
        <f aca="true" t="shared" si="1" ref="G17:G26">SUM(B17:F17)</f>
        <v>0</v>
      </c>
    </row>
    <row r="18" spans="1:7" ht="12.75">
      <c r="A18" s="109" t="s">
        <v>160</v>
      </c>
      <c r="G18" s="109">
        <f t="shared" si="1"/>
        <v>0</v>
      </c>
    </row>
    <row r="19" spans="1:7" ht="12.75">
      <c r="A19" s="109" t="s">
        <v>161</v>
      </c>
      <c r="G19" s="109">
        <f t="shared" si="1"/>
        <v>0</v>
      </c>
    </row>
    <row r="20" spans="1:7" ht="12.75">
      <c r="A20" s="109" t="s">
        <v>162</v>
      </c>
      <c r="G20" s="109">
        <f t="shared" si="1"/>
        <v>0</v>
      </c>
    </row>
    <row r="21" spans="1:7" ht="12.75">
      <c r="A21" s="109" t="s">
        <v>163</v>
      </c>
      <c r="B21" s="109" t="e">
        <f>+'BUDGET SUMMARY 09-10'!N36+'BUDGET SUMMARY 09-10'!N37+'BUDGET SUMMARY 09-10'!N43</f>
        <v>#REF!</v>
      </c>
      <c r="C21" s="109">
        <f>+'BUDGET SUMMARY 09-10'!N39</f>
        <v>0</v>
      </c>
      <c r="D21" s="109" t="e">
        <f>+'BUDGET SUMMARY 09-10'!N38</f>
        <v>#REF!</v>
      </c>
      <c r="E21" s="109" t="e">
        <f>+'BUDGET SUMMARY 09-10'!N42+'BUDGET SUMMARY 09-10'!N41</f>
        <v>#REF!</v>
      </c>
      <c r="F21" s="109">
        <f>+'BUDGET SUMMARY 09-10'!N44</f>
        <v>0</v>
      </c>
      <c r="G21" s="109" t="e">
        <f t="shared" si="1"/>
        <v>#REF!</v>
      </c>
    </row>
    <row r="22" spans="1:7" ht="12.75">
      <c r="A22" s="109" t="s">
        <v>164</v>
      </c>
      <c r="G22" s="109">
        <f t="shared" si="1"/>
        <v>0</v>
      </c>
    </row>
    <row r="23" spans="1:7" ht="12.75">
      <c r="A23" s="109" t="s">
        <v>165</v>
      </c>
      <c r="B23" s="109" t="e">
        <f>+'BUDGET SUMMARY 09-10'!M36+'BUDGET SUMMARY 09-10'!M37+'BUDGET SUMMARY 09-10'!M43</f>
        <v>#REF!</v>
      </c>
      <c r="C23" s="109">
        <f>+'BUDGET SUMMARY 09-10'!M39</f>
        <v>170000</v>
      </c>
      <c r="D23" s="109" t="e">
        <f>+'BUDGET SUMMARY 09-10'!M38</f>
        <v>#REF!</v>
      </c>
      <c r="E23" s="109" t="e">
        <f>+'BUDGET SUMMARY 09-10'!M42+'BUDGET SUMMARY 09-10'!M41</f>
        <v>#REF!</v>
      </c>
      <c r="F23" s="109">
        <f>+'BUDGET SUMMARY 09-10'!M44</f>
        <v>0</v>
      </c>
      <c r="G23" s="109" t="e">
        <f t="shared" si="1"/>
        <v>#REF!</v>
      </c>
    </row>
    <row r="24" spans="1:7" ht="12.75">
      <c r="A24" s="109" t="s">
        <v>166</v>
      </c>
      <c r="B24" s="109" t="e">
        <f>+'BUDGET SUMMARY 09-10'!L36+'BUDGET SUMMARY 09-10'!L37+'BUDGET SUMMARY 09-10'!L43</f>
        <v>#REF!</v>
      </c>
      <c r="C24" s="109">
        <f>+'BUDGET SUMMARY 09-10'!L39</f>
        <v>300000</v>
      </c>
      <c r="D24" s="109" t="e">
        <f>+'BUDGET SUMMARY 09-10'!L38</f>
        <v>#REF!</v>
      </c>
      <c r="E24" s="109">
        <f>+'BUDGET SUMMARY 09-10'!L41+'BUDGET SUMMARY 09-10'!L42</f>
        <v>0</v>
      </c>
      <c r="F24" s="109">
        <f>+'BUDGET SUMMARY 09-10'!L44</f>
        <v>0</v>
      </c>
      <c r="G24" s="109" t="e">
        <f t="shared" si="1"/>
        <v>#REF!</v>
      </c>
    </row>
    <row r="25" spans="1:7" ht="12.75">
      <c r="A25" s="109" t="s">
        <v>167</v>
      </c>
      <c r="G25" s="109">
        <f>SUM(B25:F25)</f>
        <v>0</v>
      </c>
    </row>
    <row r="26" spans="1:7" ht="12.75">
      <c r="A26" s="109" t="s">
        <v>168</v>
      </c>
      <c r="G26" s="109">
        <f t="shared" si="1"/>
        <v>0</v>
      </c>
    </row>
    <row r="28" ht="12.75">
      <c r="A28" s="109" t="s">
        <v>169</v>
      </c>
    </row>
    <row r="29" spans="1:7" ht="12.75">
      <c r="A29" s="109" t="s">
        <v>170</v>
      </c>
      <c r="B29" s="109" t="e">
        <f aca="true" t="shared" si="2" ref="B29:G29">SUM(B6:B26)</f>
        <v>#REF!</v>
      </c>
      <c r="C29" s="109" t="e">
        <f t="shared" si="2"/>
        <v>#REF!</v>
      </c>
      <c r="D29" s="109" t="e">
        <f t="shared" si="2"/>
        <v>#REF!</v>
      </c>
      <c r="E29" s="109" t="e">
        <f t="shared" si="2"/>
        <v>#REF!</v>
      </c>
      <c r="F29" s="109" t="e">
        <f t="shared" si="2"/>
        <v>#REF!</v>
      </c>
      <c r="G29" s="109" t="e">
        <f t="shared" si="2"/>
        <v>#REF!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0.375" style="109" customWidth="1"/>
    <col min="2" max="2" width="11.125" style="109" customWidth="1"/>
    <col min="3" max="3" width="9.25390625" style="109" customWidth="1"/>
    <col min="4" max="4" width="8.75390625" style="109" bestFit="1" customWidth="1"/>
    <col min="5" max="5" width="10.25390625" style="109" bestFit="1" customWidth="1"/>
    <col min="6" max="6" width="9.00390625" style="109" customWidth="1"/>
    <col min="7" max="7" width="10.25390625" style="109" bestFit="1" customWidth="1"/>
    <col min="8" max="16384" width="9.00390625" style="109" customWidth="1"/>
  </cols>
  <sheetData>
    <row r="1" ht="15">
      <c r="A1" s="113" t="s">
        <v>253</v>
      </c>
    </row>
    <row r="2" spans="1:7" ht="12.75">
      <c r="A2" s="110" t="s">
        <v>137</v>
      </c>
      <c r="B2" s="110" t="s">
        <v>138</v>
      </c>
      <c r="C2" s="110" t="s">
        <v>139</v>
      </c>
      <c r="D2" s="110" t="s">
        <v>140</v>
      </c>
      <c r="E2" s="110" t="s">
        <v>141</v>
      </c>
      <c r="F2" s="110"/>
      <c r="G2" s="110"/>
    </row>
    <row r="3" spans="1:7" ht="12.75">
      <c r="A3" s="111" t="s">
        <v>142</v>
      </c>
      <c r="B3" s="111" t="s">
        <v>143</v>
      </c>
      <c r="C3" s="111" t="s">
        <v>144</v>
      </c>
      <c r="D3" s="111" t="s">
        <v>145</v>
      </c>
      <c r="E3" s="111" t="s">
        <v>146</v>
      </c>
      <c r="F3" s="111" t="s">
        <v>140</v>
      </c>
      <c r="G3" s="111" t="s">
        <v>30</v>
      </c>
    </row>
    <row r="4" spans="1:7" ht="12.75">
      <c r="A4" s="112"/>
      <c r="B4" s="112"/>
      <c r="C4" s="112"/>
      <c r="D4" s="112"/>
      <c r="E4" s="112"/>
      <c r="F4" s="112"/>
      <c r="G4" s="112"/>
    </row>
    <row r="5" ht="12.75">
      <c r="A5" s="109" t="s">
        <v>147</v>
      </c>
    </row>
    <row r="6" spans="1:7" ht="12.75">
      <c r="A6" s="109" t="s">
        <v>148</v>
      </c>
      <c r="B6" s="109" t="e">
        <f>'PLAINVIEW 08-09'!B53+'PLAINVIEW 08-09'!B54+'PLAINVIEW 08-09'!B60+GENERAL!#REF!+GENERAL!#REF!+GENERAL!#REF!+'PLAINVIEW 08-09'!F53+'PLAINVIEW 08-09'!F54+'PLAINVIEW 08-09'!F60</f>
        <v>#REF!</v>
      </c>
      <c r="C6" s="109">
        <f>'PLAINVIEW 08-09'!B56</f>
        <v>0</v>
      </c>
      <c r="D6" s="109">
        <f>'PLAINVIEW 08-09'!B55</f>
        <v>1338.98</v>
      </c>
      <c r="E6" s="109">
        <f>'PLAINVIEW 08-09'!B58+'PLAINVIEW 08-09'!B59</f>
        <v>0</v>
      </c>
      <c r="F6" s="109" t="e">
        <f>'PLAINVIEW 08-09'!B44</f>
        <v>#REF!</v>
      </c>
      <c r="G6" s="109" t="e">
        <f aca="true" t="shared" si="0" ref="G6:G14">SUM(B6:F6)</f>
        <v>#REF!</v>
      </c>
    </row>
    <row r="7" spans="1:7" ht="12.75">
      <c r="A7" s="109" t="s">
        <v>149</v>
      </c>
      <c r="B7" s="109" t="e">
        <f>'PLAINVIEW 08-09'!C53+'PLAINVIEW 08-09'!C54+'PLAINVIEW 08-09'!D53+'PLAINVIEW 08-09'!D54+'PLAINVIEW 08-09'!C60+'PLAINVIEW 08-09'!D60</f>
        <v>#REF!</v>
      </c>
      <c r="C7" s="109">
        <f>'PLAINVIEW 08-09'!C56+'PLAINVIEW 08-09'!D56</f>
        <v>0</v>
      </c>
      <c r="D7" s="109" t="e">
        <f>'PLAINVIEW 08-09'!C55+'PLAINVIEW 08-09'!D55</f>
        <v>#REF!</v>
      </c>
      <c r="E7" s="109">
        <f>'PLAINVIEW 08-09'!C58+'PLAINVIEW 08-09'!C59+'PLAINVIEW 08-09'!D58+'PLAINVIEW 08-09'!D59</f>
        <v>0</v>
      </c>
      <c r="G7" s="109" t="e">
        <f t="shared" si="0"/>
        <v>#REF!</v>
      </c>
    </row>
    <row r="8" spans="1:7" ht="12.75">
      <c r="A8" s="109" t="s">
        <v>150</v>
      </c>
      <c r="B8" s="109" t="e">
        <f>'PLAINVIEW 08-09'!E53+'PLAINVIEW 08-09'!E54+'PLAINVIEW 08-09'!E60</f>
        <v>#REF!</v>
      </c>
      <c r="C8" s="109">
        <f>'PLAINVIEW 08-09'!E56</f>
        <v>0</v>
      </c>
      <c r="D8" s="109" t="e">
        <f>'PLAINVIEW 08-09'!E55</f>
        <v>#REF!</v>
      </c>
      <c r="E8" s="109">
        <f>'PLAINVIEW 08-09'!E59+'PLAINVIEW 08-09'!E58</f>
        <v>0</v>
      </c>
      <c r="G8" s="109" t="e">
        <f t="shared" si="0"/>
        <v>#REF!</v>
      </c>
    </row>
    <row r="9" spans="1:7" ht="12.75">
      <c r="A9" s="109" t="s">
        <v>151</v>
      </c>
      <c r="B9" s="109" t="e">
        <f>'PLAINVIEW 08-09'!C36+'PLAINVIEW 08-09'!C37+'PLAINVIEW 08-09'!C43</f>
        <v>#REF!</v>
      </c>
      <c r="C9" s="109" t="e">
        <f>'PLAINVIEW 08-09'!C39+'PLAINVIEW 08-09'!B39-'BUDGET PG4'!C13</f>
        <v>#VALUE!</v>
      </c>
      <c r="D9" s="109">
        <f>'PLAINVIEW 08-09'!C38</f>
        <v>30526</v>
      </c>
      <c r="E9" s="109" t="e">
        <f>'PLAINVIEW 08-09'!C42+'PLAINVIEW 08-09'!C41</f>
        <v>#REF!</v>
      </c>
      <c r="F9" s="109">
        <f>'PLAINVIEW 08-09'!C44</f>
        <v>0</v>
      </c>
      <c r="G9" s="109" t="e">
        <f t="shared" si="0"/>
        <v>#REF!</v>
      </c>
    </row>
    <row r="10" spans="1:7" ht="12.75">
      <c r="A10" s="109" t="s">
        <v>152</v>
      </c>
      <c r="G10" s="109">
        <f t="shared" si="0"/>
        <v>0</v>
      </c>
    </row>
    <row r="11" spans="1:7" ht="12.75">
      <c r="A11" s="109" t="s">
        <v>153</v>
      </c>
      <c r="G11" s="109">
        <f t="shared" si="0"/>
        <v>0</v>
      </c>
    </row>
    <row r="12" spans="1:7" ht="12.75">
      <c r="A12" s="109" t="s">
        <v>154</v>
      </c>
      <c r="B12" s="109" t="e">
        <f>'PLAINVIEW 08-09'!G53+'PLAINVIEW 08-09'!G54+'PLAINVIEW 08-09'!G60</f>
        <v>#REF!</v>
      </c>
      <c r="C12" s="109">
        <f>'PLAINVIEW 08-09'!G56</f>
        <v>0</v>
      </c>
      <c r="D12" s="109" t="e">
        <f>'PLAINVIEW 08-09'!G55</f>
        <v>#REF!</v>
      </c>
      <c r="E12" s="109">
        <f>'PLAINVIEW 08-09'!G59+'PLAINVIEW 08-09'!G58</f>
        <v>0</v>
      </c>
      <c r="G12" s="109" t="e">
        <f t="shared" si="0"/>
        <v>#REF!</v>
      </c>
    </row>
    <row r="13" spans="1:7" ht="12.75">
      <c r="A13" s="109" t="s">
        <v>155</v>
      </c>
      <c r="B13" s="109" t="e">
        <f>'PLAINVIEW 08-09'!H53+'PLAINVIEW 08-09'!H54+'PLAINVIEW 08-09'!I53+'PLAINVIEW 08-09'!I54+'PLAINVIEW 08-09'!H60+'PLAINVIEW 08-09'!I60</f>
        <v>#REF!</v>
      </c>
      <c r="C13" s="109" t="e">
        <f>'PLAINVIEW 08-09'!H56+'PLAINVIEW 08-09'!I56</f>
        <v>#VALUE!</v>
      </c>
      <c r="D13" s="109" t="e">
        <f>'PLAINVIEW 08-09'!H55+'PLAINVIEW 08-09'!I55</f>
        <v>#REF!</v>
      </c>
      <c r="E13" s="109">
        <f>'PLAINVIEW 08-09'!H59+'PLAINVIEW 08-09'!H58+'PLAINVIEW 08-09'!I59+'PLAINVIEW 08-09'!I58</f>
        <v>0</v>
      </c>
      <c r="G13" s="109" t="e">
        <f t="shared" si="0"/>
        <v>#REF!</v>
      </c>
    </row>
    <row r="14" spans="1:7" ht="12.75">
      <c r="A14" s="109" t="s">
        <v>156</v>
      </c>
      <c r="B14" s="109">
        <f>'PLAINVIEW 08-09'!D36+'PLAINVIEW 08-09'!D37+'PLAINVIEW 08-09'!E36+'PLAINVIEW 08-09'!E37+'PLAINVIEW 08-09'!H36+'PLAINVIEW 08-09'!H37+'PLAINVIEW 08-09'!D43+'PLAINVIEW 08-09'!E43+'PLAINVIEW 08-09'!H43</f>
        <v>0</v>
      </c>
      <c r="C14" s="109">
        <f>'PLAINVIEW 08-09'!D39+'PLAINVIEW 08-09'!E39+'PLAINVIEW 08-09'!H39</f>
        <v>154557</v>
      </c>
      <c r="D14" s="109">
        <f>'PLAINVIEW 08-09'!D38+'PLAINVIEW 08-09'!E38+'PLAINVIEW 08-09'!H38</f>
        <v>154758.38</v>
      </c>
      <c r="E14" s="109">
        <f>'PLAINVIEW 08-09'!D41+'PLAINVIEW 08-09'!D42+'PLAINVIEW 08-09'!E42+'PLAINVIEW 08-09'!E41+'PLAINVIEW 08-09'!G41+'PLAINVIEW 08-09'!G42</f>
        <v>0</v>
      </c>
      <c r="F14" s="109">
        <f>'PLAINVIEW 08-09'!D44+'PLAINVIEW 08-09'!E44+'PLAINVIEW 08-09'!G44+'PLAINVIEW 08-09'!H44</f>
        <v>0</v>
      </c>
      <c r="G14" s="109">
        <f t="shared" si="0"/>
        <v>309315.38</v>
      </c>
    </row>
    <row r="15" spans="1:7" ht="12.75">
      <c r="A15" s="109" t="s">
        <v>157</v>
      </c>
      <c r="B15" s="109" t="e">
        <f>'PLAINVIEW 08-09'!F36+'PLAINVIEW 08-09'!F37+'PLAINVIEW 08-09'!F43+'PLAINVIEW 08-09'!G37+'PLAINVIEW 08-09'!G36+'PLAINVIEW 08-09'!G43+'PLAINVIEW 08-09'!I36+'PLAINVIEW 08-09'!I37+'PLAINVIEW 08-09'!I43+'PLAINVIEW 08-09'!J36+'PLAINVIEW 08-09'!J37+'PLAINVIEW 08-09'!J43</f>
        <v>#REF!</v>
      </c>
      <c r="C15" s="109">
        <f>'PLAINVIEW 08-09'!F39+'PLAINVIEW 08-09'!G39+'PLAINVIEW 08-09'!I39+'PLAINVIEW 08-09'!J39</f>
        <v>0</v>
      </c>
      <c r="D15" s="109" t="e">
        <f>'PLAINVIEW 08-09'!F38+'PLAINVIEW 08-09'!G38+'PLAINVIEW 08-09'!I38+'PLAINVIEW 08-09'!J38</f>
        <v>#REF!</v>
      </c>
      <c r="E15" s="109" t="e">
        <f>'PLAINVIEW 08-09'!J41+'PLAINVIEW 08-09'!J42+'PLAINVIEW 08-09'!K41+'PLAINVIEW 08-09'!K42</f>
        <v>#REF!</v>
      </c>
      <c r="F15" s="109" t="e">
        <f>'PLAINVIEW 08-09'!F44+'PLAINVIEW 08-09'!G44+'PLAINVIEW 08-09'!I44+'PLAINVIEW 08-09'!J44</f>
        <v>#REF!</v>
      </c>
      <c r="G15" s="109" t="e">
        <f>SUM(B15:F15)</f>
        <v>#REF!</v>
      </c>
    </row>
    <row r="16" ht="12.75">
      <c r="A16" s="109" t="s">
        <v>158</v>
      </c>
    </row>
    <row r="17" spans="1:7" ht="12.75">
      <c r="A17" s="109" t="s">
        <v>159</v>
      </c>
      <c r="G17" s="109">
        <f aca="true" t="shared" si="1" ref="G17:G26">SUM(B17:F17)</f>
        <v>0</v>
      </c>
    </row>
    <row r="18" spans="1:7" ht="12.75">
      <c r="A18" s="109" t="s">
        <v>160</v>
      </c>
      <c r="G18" s="109">
        <f t="shared" si="1"/>
        <v>0</v>
      </c>
    </row>
    <row r="19" spans="1:7" ht="12.75">
      <c r="A19" s="109" t="s">
        <v>161</v>
      </c>
      <c r="G19" s="109">
        <f t="shared" si="1"/>
        <v>0</v>
      </c>
    </row>
    <row r="20" spans="1:7" ht="12.75">
      <c r="A20" s="109" t="s">
        <v>162</v>
      </c>
      <c r="G20" s="109">
        <f t="shared" si="1"/>
        <v>0</v>
      </c>
    </row>
    <row r="21" spans="1:7" ht="12.75">
      <c r="A21" s="109" t="s">
        <v>163</v>
      </c>
      <c r="B21" s="109" t="e">
        <f>'PLAINVIEW 08-09'!N36+'PLAINVIEW 08-09'!N37+'PLAINVIEW 08-09'!N43</f>
        <v>#REF!</v>
      </c>
      <c r="C21" s="109">
        <f>'PLAINVIEW 08-09'!N39</f>
        <v>0</v>
      </c>
      <c r="D21" s="109" t="e">
        <f>'PLAINVIEW 08-09'!N38</f>
        <v>#REF!</v>
      </c>
      <c r="E21" s="109" t="e">
        <f>'PLAINVIEW 08-09'!N42+'PLAINVIEW 08-09'!N41</f>
        <v>#REF!</v>
      </c>
      <c r="F21" s="109">
        <f>'PLAINVIEW 08-09'!N44</f>
        <v>0</v>
      </c>
      <c r="G21" s="109" t="e">
        <f t="shared" si="1"/>
        <v>#REF!</v>
      </c>
    </row>
    <row r="22" spans="1:7" ht="12.75">
      <c r="A22" s="109" t="s">
        <v>164</v>
      </c>
      <c r="G22" s="109">
        <f t="shared" si="1"/>
        <v>0</v>
      </c>
    </row>
    <row r="23" spans="1:7" ht="12.75">
      <c r="A23" s="109" t="s">
        <v>165</v>
      </c>
      <c r="B23" s="109" t="e">
        <f>'PLAINVIEW 08-09'!M36+'PLAINVIEW 08-09'!M37+'PLAINVIEW 08-09'!M43</f>
        <v>#REF!</v>
      </c>
      <c r="C23" s="109">
        <f>'PLAINVIEW 08-09'!M39</f>
        <v>0</v>
      </c>
      <c r="D23" s="109" t="e">
        <f>'PLAINVIEW 08-09'!M38</f>
        <v>#REF!</v>
      </c>
      <c r="E23" s="109" t="e">
        <f>'PLAINVIEW 08-09'!M42+'PLAINVIEW 08-09'!M41</f>
        <v>#REF!</v>
      </c>
      <c r="F23" s="109" t="e">
        <f>'PLAINVIEW 08-09'!M44</f>
        <v>#REF!</v>
      </c>
      <c r="G23" s="109" t="e">
        <f t="shared" si="1"/>
        <v>#REF!</v>
      </c>
    </row>
    <row r="24" spans="1:7" ht="12.75">
      <c r="A24" s="109" t="s">
        <v>166</v>
      </c>
      <c r="B24" s="109" t="e">
        <f>'PLAINVIEW 08-09'!L36+'PLAINVIEW 08-09'!L37+'PLAINVIEW 08-09'!L43</f>
        <v>#REF!</v>
      </c>
      <c r="C24" s="109">
        <f>'PLAINVIEW 08-09'!L39</f>
        <v>0</v>
      </c>
      <c r="D24" s="109" t="e">
        <f>'PLAINVIEW 08-09'!L38</f>
        <v>#REF!</v>
      </c>
      <c r="E24" s="109">
        <f>'PLAINVIEW 08-09'!L41+'PLAINVIEW 08-09'!L42</f>
        <v>0</v>
      </c>
      <c r="F24" s="109">
        <f>'PLAINVIEW 08-09'!L44</f>
        <v>0</v>
      </c>
      <c r="G24" s="109" t="e">
        <f t="shared" si="1"/>
        <v>#REF!</v>
      </c>
    </row>
    <row r="25" spans="1:7" ht="12.75">
      <c r="A25" s="109" t="s">
        <v>167</v>
      </c>
      <c r="G25" s="109">
        <f t="shared" si="1"/>
        <v>0</v>
      </c>
    </row>
    <row r="26" spans="1:7" ht="12.75">
      <c r="A26" s="109" t="s">
        <v>168</v>
      </c>
      <c r="G26" s="109">
        <f t="shared" si="1"/>
        <v>0</v>
      </c>
    </row>
    <row r="28" ht="12.75">
      <c r="A28" s="109" t="s">
        <v>169</v>
      </c>
    </row>
    <row r="29" spans="1:7" ht="12.75">
      <c r="A29" s="109" t="s">
        <v>170</v>
      </c>
      <c r="B29" s="109" t="e">
        <f aca="true" t="shared" si="2" ref="B29:G29">SUM(B6:B26)</f>
        <v>#REF!</v>
      </c>
      <c r="C29" s="109" t="e">
        <f t="shared" si="2"/>
        <v>#VALUE!</v>
      </c>
      <c r="D29" s="109" t="e">
        <f t="shared" si="2"/>
        <v>#REF!</v>
      </c>
      <c r="E29" s="109" t="e">
        <f t="shared" si="2"/>
        <v>#REF!</v>
      </c>
      <c r="F29" s="109" t="e">
        <f t="shared" si="2"/>
        <v>#REF!</v>
      </c>
      <c r="G29" s="109" t="e">
        <f t="shared" si="2"/>
        <v>#REF!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50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I104" sqref="I104"/>
      <selection pane="topRight" activeCell="I104" sqref="I104"/>
      <selection pane="bottomLeft" activeCell="I104" sqref="I104"/>
      <selection pane="bottomRight" activeCell="F42" sqref="F42"/>
    </sheetView>
  </sheetViews>
  <sheetFormatPr defaultColWidth="10.625" defaultRowHeight="12.75"/>
  <cols>
    <col min="1" max="1" width="7.625" style="24" customWidth="1"/>
    <col min="2" max="2" width="22.625" style="24" customWidth="1"/>
    <col min="3" max="3" width="11.625" style="24" customWidth="1"/>
    <col min="4" max="4" width="11.875" style="24" customWidth="1"/>
    <col min="5" max="5" width="11.625" style="24" customWidth="1"/>
    <col min="6" max="6" width="11.875" style="24" customWidth="1"/>
    <col min="7" max="7" width="10.625" style="29" customWidth="1"/>
    <col min="8" max="16384" width="10.625" style="24" customWidth="1"/>
  </cols>
  <sheetData>
    <row r="1" spans="1:7" ht="12.75">
      <c r="A1" s="210" t="s">
        <v>267</v>
      </c>
      <c r="B1" s="211"/>
      <c r="C1" s="211"/>
      <c r="D1" s="211"/>
      <c r="E1" s="211"/>
      <c r="F1" s="211"/>
      <c r="G1" s="28"/>
    </row>
    <row r="2" spans="1:7" ht="12.75">
      <c r="A2" s="210" t="s">
        <v>451</v>
      </c>
      <c r="B2" s="212"/>
      <c r="C2" s="212"/>
      <c r="D2" s="212"/>
      <c r="E2" s="212"/>
      <c r="F2" s="212"/>
      <c r="G2" s="28"/>
    </row>
    <row r="3" spans="1:7" ht="12.75">
      <c r="A3" s="46"/>
      <c r="B3" s="131"/>
      <c r="C3" s="131"/>
      <c r="D3" s="131"/>
      <c r="E3" s="131"/>
      <c r="F3" s="131"/>
      <c r="G3" s="28"/>
    </row>
    <row r="4" spans="1:7" ht="12.75">
      <c r="A4" s="3"/>
      <c r="B4" s="3"/>
      <c r="C4" s="59" t="s">
        <v>639</v>
      </c>
      <c r="D4" s="59" t="s">
        <v>654</v>
      </c>
      <c r="E4" s="59" t="s">
        <v>654</v>
      </c>
      <c r="F4" s="59" t="s">
        <v>682</v>
      </c>
      <c r="G4" s="28"/>
    </row>
    <row r="5" spans="1:7" ht="12.75">
      <c r="A5" s="3"/>
      <c r="B5" s="3"/>
      <c r="C5" s="36" t="s">
        <v>2</v>
      </c>
      <c r="D5" s="36" t="s">
        <v>2</v>
      </c>
      <c r="E5" s="36" t="s">
        <v>2</v>
      </c>
      <c r="F5" s="36" t="s">
        <v>2</v>
      </c>
      <c r="G5" s="28"/>
    </row>
    <row r="6" spans="1:7" ht="12.75">
      <c r="A6" s="3"/>
      <c r="B6" s="3"/>
      <c r="C6" s="59" t="s">
        <v>641</v>
      </c>
      <c r="D6" s="59" t="s">
        <v>655</v>
      </c>
      <c r="E6" s="59" t="s">
        <v>655</v>
      </c>
      <c r="F6" s="59" t="s">
        <v>683</v>
      </c>
      <c r="G6" s="28"/>
    </row>
    <row r="7" spans="1:7" ht="12.75">
      <c r="A7" s="3"/>
      <c r="B7" s="3"/>
      <c r="C7" s="7" t="s">
        <v>3</v>
      </c>
      <c r="D7" s="36" t="s">
        <v>194</v>
      </c>
      <c r="E7" s="36" t="s">
        <v>191</v>
      </c>
      <c r="F7" s="36" t="s">
        <v>191</v>
      </c>
      <c r="G7" s="28"/>
    </row>
    <row r="8" spans="1:7" ht="12.75">
      <c r="A8" s="5" t="s">
        <v>4</v>
      </c>
      <c r="B8" s="3"/>
      <c r="C8" s="3"/>
      <c r="D8" s="3"/>
      <c r="E8" s="3"/>
      <c r="F8" s="3"/>
      <c r="G8" s="28"/>
    </row>
    <row r="9" spans="1:7" ht="12.75">
      <c r="A9" s="3" t="s">
        <v>0</v>
      </c>
      <c r="B9" s="3" t="s">
        <v>5</v>
      </c>
      <c r="C9" s="3">
        <v>239895.56</v>
      </c>
      <c r="D9" s="3">
        <v>209741</v>
      </c>
      <c r="E9" s="3">
        <v>216790</v>
      </c>
      <c r="F9" s="3">
        <f>SUM(ADMINISTRATION!F26)</f>
        <v>242226</v>
      </c>
      <c r="G9" s="28"/>
    </row>
    <row r="10" spans="1:7" ht="12.75">
      <c r="A10" s="3"/>
      <c r="B10" s="3" t="s">
        <v>6</v>
      </c>
      <c r="C10" s="3">
        <v>191300</v>
      </c>
      <c r="D10" s="3">
        <f>POLICE!D25</f>
        <v>193619.66</v>
      </c>
      <c r="E10" s="3">
        <v>176925</v>
      </c>
      <c r="F10" s="3">
        <f>POLICE!F25</f>
        <v>219492.81</v>
      </c>
      <c r="G10" s="28"/>
    </row>
    <row r="11" spans="1:8" ht="12.75">
      <c r="A11" s="3"/>
      <c r="B11" s="24" t="s">
        <v>591</v>
      </c>
      <c r="C11" s="24">
        <v>11959</v>
      </c>
      <c r="D11" s="24">
        <f>HANDIBUS!D24</f>
        <v>14396.01</v>
      </c>
      <c r="E11" s="24">
        <v>10182</v>
      </c>
      <c r="F11" s="24">
        <f>HANDIBUS!F24</f>
        <v>14846.43</v>
      </c>
      <c r="G11" s="24"/>
      <c r="H11" s="3"/>
    </row>
    <row r="12" spans="1:7" ht="12.75">
      <c r="A12" s="3"/>
      <c r="B12" s="3" t="s">
        <v>316</v>
      </c>
      <c r="C12" s="3">
        <v>18500</v>
      </c>
      <c r="D12" s="158">
        <v>18500</v>
      </c>
      <c r="E12" s="158">
        <v>18500</v>
      </c>
      <c r="F12" s="158">
        <v>18500</v>
      </c>
      <c r="G12" s="28"/>
    </row>
    <row r="13" spans="1:7" ht="12.75">
      <c r="A13" s="3"/>
      <c r="B13" s="3" t="s">
        <v>8</v>
      </c>
      <c r="C13" s="3">
        <v>47000</v>
      </c>
      <c r="D13" s="3">
        <f>LIBRARY!D24</f>
        <v>65733.35999999999</v>
      </c>
      <c r="E13" s="3">
        <v>44763</v>
      </c>
      <c r="F13" s="3">
        <f>LIBRARY!F24</f>
        <v>65536.59</v>
      </c>
      <c r="G13" s="28"/>
    </row>
    <row r="14" spans="1:7" ht="12.75">
      <c r="A14" s="3"/>
      <c r="B14" s="3" t="s">
        <v>9</v>
      </c>
      <c r="C14" s="3">
        <v>34556.55</v>
      </c>
      <c r="D14" s="3">
        <f>PARK!D23</f>
        <v>11924.779999999999</v>
      </c>
      <c r="E14" s="3">
        <v>33594</v>
      </c>
      <c r="F14" s="3">
        <f>PARK!F23</f>
        <v>30017.36</v>
      </c>
      <c r="G14" s="28"/>
    </row>
    <row r="15" spans="1:7" ht="12.75">
      <c r="A15" s="3"/>
      <c r="B15" s="3" t="s">
        <v>674</v>
      </c>
      <c r="C15" s="3">
        <v>0</v>
      </c>
      <c r="D15" s="3">
        <v>5102</v>
      </c>
      <c r="E15" s="3">
        <v>37653</v>
      </c>
      <c r="F15" s="3">
        <v>33697.89</v>
      </c>
      <c r="G15" s="28"/>
    </row>
    <row r="16" spans="1:7" ht="12.75">
      <c r="A16" s="3"/>
      <c r="B16" s="3" t="s">
        <v>627</v>
      </c>
      <c r="C16" s="3">
        <v>0</v>
      </c>
      <c r="D16" s="3">
        <v>0</v>
      </c>
      <c r="E16" s="3">
        <v>10000</v>
      </c>
      <c r="F16" s="3">
        <v>33697.89</v>
      </c>
      <c r="G16" s="28"/>
    </row>
    <row r="17" spans="1:7" ht="12.75">
      <c r="A17" s="3"/>
      <c r="B17" s="3" t="s">
        <v>628</v>
      </c>
      <c r="C17" s="3">
        <v>0</v>
      </c>
      <c r="D17" s="3">
        <v>0</v>
      </c>
      <c r="E17" s="3">
        <v>33000</v>
      </c>
      <c r="F17" s="3">
        <v>33697.89</v>
      </c>
      <c r="G17" s="28"/>
    </row>
    <row r="18" spans="1:7" ht="12.75">
      <c r="A18" s="3"/>
      <c r="B18" s="3"/>
      <c r="C18" s="3"/>
      <c r="D18" s="3"/>
      <c r="E18" s="3"/>
      <c r="F18" s="3"/>
      <c r="G18" s="28"/>
    </row>
    <row r="19" spans="1:7" ht="12.75">
      <c r="A19" s="3"/>
      <c r="B19" s="3"/>
      <c r="C19" s="15"/>
      <c r="D19" s="32"/>
      <c r="E19" s="15"/>
      <c r="F19" s="32"/>
      <c r="G19" s="28"/>
    </row>
    <row r="20" spans="1:6" ht="12.75">
      <c r="A20" s="5" t="s">
        <v>182</v>
      </c>
      <c r="B20" s="3"/>
      <c r="C20" s="5">
        <f>SUM(C9:C17)</f>
        <v>543211.11</v>
      </c>
      <c r="D20" s="5">
        <f>SUM(D9:D17)</f>
        <v>519016.81000000006</v>
      </c>
      <c r="E20" s="5">
        <f>SUM(E9:E17)</f>
        <v>581407</v>
      </c>
      <c r="F20" s="5">
        <f>SUM(F9:F17)</f>
        <v>691712.86</v>
      </c>
    </row>
    <row r="21" spans="1:6" ht="12.75">
      <c r="A21" s="3"/>
      <c r="B21" s="3" t="s">
        <v>11</v>
      </c>
      <c r="C21" s="15">
        <v>0</v>
      </c>
      <c r="D21" s="30">
        <v>0</v>
      </c>
      <c r="E21" s="15">
        <v>0</v>
      </c>
      <c r="F21" s="27">
        <v>0</v>
      </c>
    </row>
    <row r="22" spans="1:7" ht="18" customHeight="1">
      <c r="A22" s="5" t="s">
        <v>12</v>
      </c>
      <c r="C22" s="25">
        <f>SUM(C20:C21)</f>
        <v>543211.11</v>
      </c>
      <c r="D22" s="25">
        <f>SUM(D20:D21)</f>
        <v>519016.81000000006</v>
      </c>
      <c r="E22" s="25">
        <f>SUM(E20:E21)</f>
        <v>581407</v>
      </c>
      <c r="F22" s="25">
        <f>SUM(F20:F21)</f>
        <v>691712.86</v>
      </c>
      <c r="G22" s="205" t="s">
        <v>7</v>
      </c>
    </row>
    <row r="23" spans="1:7" ht="18" customHeight="1">
      <c r="A23" s="5"/>
      <c r="C23" s="25"/>
      <c r="D23" s="25"/>
      <c r="E23" s="25"/>
      <c r="F23" s="25"/>
      <c r="G23" s="31"/>
    </row>
    <row r="24" spans="1:5" ht="12.75">
      <c r="A24" s="5" t="s">
        <v>13</v>
      </c>
      <c r="B24" s="5"/>
      <c r="C24" s="3"/>
      <c r="E24" s="3"/>
    </row>
    <row r="25" spans="1:6" ht="12.75">
      <c r="A25" s="3" t="s">
        <v>562</v>
      </c>
      <c r="B25" s="3"/>
      <c r="C25" s="3" t="s">
        <v>7</v>
      </c>
      <c r="D25" s="33">
        <v>0</v>
      </c>
      <c r="E25" s="33">
        <v>0</v>
      </c>
      <c r="F25" s="33">
        <v>0</v>
      </c>
    </row>
    <row r="26" spans="1:8" ht="12.75">
      <c r="A26" s="3" t="s">
        <v>435</v>
      </c>
      <c r="B26" s="3"/>
      <c r="C26" s="86" t="s">
        <v>609</v>
      </c>
      <c r="D26" s="83" t="s">
        <v>216</v>
      </c>
      <c r="E26" s="203" t="s">
        <v>216</v>
      </c>
      <c r="F26" s="203" t="s">
        <v>643</v>
      </c>
      <c r="H26" s="24" t="s">
        <v>7</v>
      </c>
    </row>
    <row r="27" spans="1:6" ht="12.75">
      <c r="A27" s="3" t="s">
        <v>627</v>
      </c>
      <c r="B27" s="3"/>
      <c r="C27" s="86">
        <v>57950.12</v>
      </c>
      <c r="D27" s="83">
        <v>56514.16</v>
      </c>
      <c r="E27" s="203">
        <v>33000</v>
      </c>
      <c r="F27" s="203">
        <v>33697.89</v>
      </c>
    </row>
    <row r="28" spans="1:6" ht="12.75">
      <c r="A28" s="3" t="s">
        <v>629</v>
      </c>
      <c r="B28" s="3"/>
      <c r="C28" s="86">
        <v>57950.12</v>
      </c>
      <c r="D28" s="83">
        <v>56514.16</v>
      </c>
      <c r="E28" s="203">
        <v>33000</v>
      </c>
      <c r="F28" s="203">
        <v>33697.89</v>
      </c>
    </row>
    <row r="29" spans="1:6" ht="12.75">
      <c r="A29" s="3" t="s">
        <v>628</v>
      </c>
      <c r="B29" s="3"/>
      <c r="C29" s="86">
        <v>57950.12</v>
      </c>
      <c r="D29" s="83">
        <v>56514.16</v>
      </c>
      <c r="E29" s="203">
        <v>33000</v>
      </c>
      <c r="F29" s="203">
        <v>33697.89</v>
      </c>
    </row>
    <row r="30" spans="1:6" ht="12.75">
      <c r="A30" s="3" t="s">
        <v>637</v>
      </c>
      <c r="B30" s="3"/>
      <c r="C30" s="86"/>
      <c r="D30" s="83"/>
      <c r="E30" s="203"/>
      <c r="F30" s="203" t="s">
        <v>7</v>
      </c>
    </row>
    <row r="31" spans="1:8" ht="12.75">
      <c r="A31" s="3" t="s">
        <v>436</v>
      </c>
      <c r="B31" s="3"/>
      <c r="C31" s="3">
        <v>90300.44</v>
      </c>
      <c r="D31" s="22">
        <v>100223</v>
      </c>
      <c r="E31" s="161">
        <v>93535</v>
      </c>
      <c r="F31" s="161">
        <v>110943.07</v>
      </c>
      <c r="G31" s="29" t="s">
        <v>0</v>
      </c>
      <c r="H31" s="24" t="s">
        <v>7</v>
      </c>
    </row>
    <row r="32" spans="1:8" ht="12.75">
      <c r="A32" s="3" t="s">
        <v>390</v>
      </c>
      <c r="B32" s="3"/>
      <c r="C32" s="3">
        <v>10136.03</v>
      </c>
      <c r="D32" s="22">
        <v>8738.6</v>
      </c>
      <c r="E32" s="161">
        <v>8000</v>
      </c>
      <c r="F32" s="161">
        <v>8000</v>
      </c>
      <c r="H32" s="24" t="s">
        <v>7</v>
      </c>
    </row>
    <row r="33" spans="1:8" ht="12.75">
      <c r="A33" s="3" t="s">
        <v>437</v>
      </c>
      <c r="B33" s="3"/>
      <c r="C33" s="3">
        <v>699</v>
      </c>
      <c r="D33" s="22">
        <v>699</v>
      </c>
      <c r="E33" s="161">
        <v>700</v>
      </c>
      <c r="F33" s="161">
        <v>700</v>
      </c>
      <c r="H33" s="24" t="s">
        <v>7</v>
      </c>
    </row>
    <row r="34" spans="1:6" ht="12.75">
      <c r="A34" s="3" t="s">
        <v>388</v>
      </c>
      <c r="B34" s="3"/>
      <c r="C34" s="86" t="s">
        <v>609</v>
      </c>
      <c r="D34" s="83" t="s">
        <v>216</v>
      </c>
      <c r="E34" s="83" t="s">
        <v>216</v>
      </c>
      <c r="F34" s="83" t="s">
        <v>643</v>
      </c>
    </row>
    <row r="35" spans="1:8" ht="12.75">
      <c r="A35" s="3" t="s">
        <v>438</v>
      </c>
      <c r="B35" s="3"/>
      <c r="C35" s="3">
        <v>26140.61</v>
      </c>
      <c r="D35" s="22">
        <v>25355.55</v>
      </c>
      <c r="E35" s="161">
        <v>20000</v>
      </c>
      <c r="F35" s="161">
        <v>25000</v>
      </c>
      <c r="H35" s="24" t="s">
        <v>7</v>
      </c>
    </row>
    <row r="36" spans="1:7" ht="12.75">
      <c r="A36" s="8" t="s">
        <v>439</v>
      </c>
      <c r="B36" s="3"/>
      <c r="C36" s="3">
        <v>5704</v>
      </c>
      <c r="D36" s="22">
        <v>5704</v>
      </c>
      <c r="E36" s="161">
        <v>5000</v>
      </c>
      <c r="F36" s="161">
        <v>5904</v>
      </c>
      <c r="G36" s="28"/>
    </row>
    <row r="37" spans="1:8" ht="12.75">
      <c r="A37" s="3" t="s">
        <v>195</v>
      </c>
      <c r="B37" s="3"/>
      <c r="C37" s="3">
        <v>705</v>
      </c>
      <c r="D37" s="22">
        <v>0</v>
      </c>
      <c r="E37" s="161">
        <v>2000</v>
      </c>
      <c r="F37" s="161">
        <v>0</v>
      </c>
      <c r="G37" s="28"/>
      <c r="H37" s="24" t="s">
        <v>7</v>
      </c>
    </row>
    <row r="38" spans="1:7" ht="12.75">
      <c r="A38" s="3" t="s">
        <v>389</v>
      </c>
      <c r="B38" s="3"/>
      <c r="C38" s="3">
        <v>17077</v>
      </c>
      <c r="D38" s="22">
        <v>3595</v>
      </c>
      <c r="E38" s="161">
        <v>5000</v>
      </c>
      <c r="F38" s="161">
        <v>5000</v>
      </c>
      <c r="G38" s="28"/>
    </row>
    <row r="39" spans="1:7" ht="12.75">
      <c r="A39" s="3" t="s">
        <v>611</v>
      </c>
      <c r="B39" s="3"/>
      <c r="C39" s="3">
        <v>0</v>
      </c>
      <c r="D39" s="22">
        <v>0</v>
      </c>
      <c r="E39" s="161">
        <v>0</v>
      </c>
      <c r="F39" s="161" t="s">
        <v>7</v>
      </c>
      <c r="G39" s="28"/>
    </row>
    <row r="40" spans="1:8" ht="12.75">
      <c r="A40" s="3" t="s">
        <v>15</v>
      </c>
      <c r="B40" s="3"/>
      <c r="C40" s="3">
        <v>0</v>
      </c>
      <c r="D40" s="22">
        <v>0</v>
      </c>
      <c r="E40" s="161">
        <v>500</v>
      </c>
      <c r="F40" s="161">
        <v>1000</v>
      </c>
      <c r="G40" s="28"/>
      <c r="H40" s="24" t="s">
        <v>677</v>
      </c>
    </row>
    <row r="41" spans="1:7" ht="12.75">
      <c r="A41" s="3" t="s">
        <v>595</v>
      </c>
      <c r="B41" s="3"/>
      <c r="C41" s="3">
        <v>8841</v>
      </c>
      <c r="D41" s="22">
        <v>104853</v>
      </c>
      <c r="E41" s="161">
        <v>35240</v>
      </c>
      <c r="F41" s="161">
        <v>25000</v>
      </c>
      <c r="G41" s="3" t="s">
        <v>7</v>
      </c>
    </row>
    <row r="42" spans="1:8" ht="12.75">
      <c r="A42" s="3" t="s">
        <v>440</v>
      </c>
      <c r="B42" s="3"/>
      <c r="C42" s="3">
        <v>268181.77</v>
      </c>
      <c r="D42" s="22">
        <v>294513.79</v>
      </c>
      <c r="E42" s="161">
        <v>242848</v>
      </c>
      <c r="F42" s="161">
        <v>291618</v>
      </c>
      <c r="G42" s="28" t="s">
        <v>7</v>
      </c>
      <c r="H42" s="24" t="s">
        <v>7</v>
      </c>
    </row>
    <row r="43" spans="1:7" ht="12.75">
      <c r="A43" s="3" t="s">
        <v>239</v>
      </c>
      <c r="B43" s="3"/>
      <c r="C43" s="3">
        <v>0</v>
      </c>
      <c r="D43" s="22">
        <v>0</v>
      </c>
      <c r="E43" s="161" t="s">
        <v>7</v>
      </c>
      <c r="F43" s="161" t="s">
        <v>7</v>
      </c>
      <c r="G43" s="3" t="s">
        <v>7</v>
      </c>
    </row>
    <row r="44" spans="1:8" ht="12.75">
      <c r="A44" s="13" t="s">
        <v>391</v>
      </c>
      <c r="B44" s="3"/>
      <c r="C44" s="3">
        <v>0</v>
      </c>
      <c r="D44" s="22">
        <v>0</v>
      </c>
      <c r="E44" s="161">
        <v>0</v>
      </c>
      <c r="F44" s="161">
        <v>0</v>
      </c>
      <c r="G44" s="28"/>
      <c r="H44" s="135" t="s">
        <v>7</v>
      </c>
    </row>
    <row r="45" spans="1:8" ht="12.75">
      <c r="A45" s="3"/>
      <c r="B45" s="13"/>
      <c r="C45" s="15"/>
      <c r="D45" s="27"/>
      <c r="E45" s="30"/>
      <c r="F45" s="27"/>
      <c r="H45" s="24" t="s">
        <v>7</v>
      </c>
    </row>
    <row r="46" spans="1:9" ht="12.75">
      <c r="A46" s="5" t="s">
        <v>16</v>
      </c>
      <c r="B46" s="3"/>
      <c r="C46" s="33">
        <f>SUM(C25:C45)</f>
        <v>601635.2100000001</v>
      </c>
      <c r="D46" s="33">
        <f>SUM(D25:D45)</f>
        <v>713224.4199999999</v>
      </c>
      <c r="E46" s="33">
        <f>SUM(E25:E45)</f>
        <v>511823</v>
      </c>
      <c r="F46" s="5">
        <f>SUM(F25:F45)</f>
        <v>574258.74</v>
      </c>
      <c r="G46" s="31"/>
      <c r="H46" s="24">
        <f>SUM(H26:H45)</f>
        <v>0</v>
      </c>
      <c r="I46" s="24" t="s">
        <v>234</v>
      </c>
    </row>
    <row r="47" spans="1:9" ht="12.75">
      <c r="A47" s="3"/>
      <c r="B47" s="3" t="s">
        <v>17</v>
      </c>
      <c r="C47" s="80">
        <f>+C22</f>
        <v>543211.11</v>
      </c>
      <c r="D47" s="80">
        <f>+D22</f>
        <v>519016.81000000006</v>
      </c>
      <c r="E47" s="80">
        <f>+E22</f>
        <v>581407</v>
      </c>
      <c r="F47" s="15">
        <f>SUM(F22)</f>
        <v>691712.86</v>
      </c>
      <c r="H47" s="24">
        <f>+F46-D48</f>
        <v>380051.1300000001</v>
      </c>
      <c r="I47" s="24" t="s">
        <v>235</v>
      </c>
    </row>
    <row r="48" spans="1:8" ht="18" customHeight="1">
      <c r="A48" s="5" t="s">
        <v>406</v>
      </c>
      <c r="C48" s="25">
        <f>SUM(C46-C47)</f>
        <v>58424.10000000009</v>
      </c>
      <c r="D48" s="25">
        <f>SUM(D46-D47)</f>
        <v>194207.60999999987</v>
      </c>
      <c r="E48" s="25">
        <f>SUM(E46-E47)</f>
        <v>-69584</v>
      </c>
      <c r="F48" s="25">
        <f>SUM(F46-F47)</f>
        <v>-117454.12</v>
      </c>
      <c r="G48" s="107"/>
      <c r="H48" s="76">
        <f>+H46/H47</f>
        <v>0</v>
      </c>
    </row>
    <row r="49" spans="1:5" ht="12.75">
      <c r="A49" s="3"/>
      <c r="B49" s="5"/>
      <c r="C49" s="3"/>
      <c r="E49" s="3"/>
    </row>
    <row r="50" ht="12.75">
      <c r="B50" s="3"/>
    </row>
  </sheetData>
  <sheetProtection/>
  <mergeCells count="2">
    <mergeCell ref="A1:F1"/>
    <mergeCell ref="A2:F2"/>
  </mergeCells>
  <printOptions/>
  <pageMargins left="0.7" right="0.7" top="0.8" bottom="0.6" header="0.5" footer="0.5"/>
  <pageSetup draft="1" firstPageNumber="1" useFirstPageNumber="1" fitToHeight="1" fitToWidth="1" horizontalDpi="600" verticalDpi="600" orientation="portrait" scale="99" r:id="rId1"/>
  <headerFooter alignWithMargins="0">
    <oddFooter>&amp;CPage &amp;P&amp;R&amp;A</oddFooter>
  </headerFooter>
  <rowBreaks count="3" manualBreakCount="3">
    <brk id="48" max="6" man="1"/>
    <brk id="78" max="255" man="1"/>
    <brk id="8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selection activeCell="D15" sqref="D15"/>
    </sheetView>
  </sheetViews>
  <sheetFormatPr defaultColWidth="9.00390625" defaultRowHeight="12.75"/>
  <cols>
    <col min="1" max="1" width="20.375" style="109" customWidth="1"/>
    <col min="2" max="2" width="11.125" style="109" customWidth="1"/>
    <col min="3" max="3" width="9.25390625" style="109" customWidth="1"/>
    <col min="4" max="4" width="9.00390625" style="109" customWidth="1"/>
    <col min="5" max="5" width="12.375" style="109" customWidth="1"/>
    <col min="6" max="6" width="9.00390625" style="109" customWidth="1"/>
    <col min="7" max="7" width="11.25390625" style="109" customWidth="1"/>
    <col min="8" max="16384" width="9.00390625" style="109" customWidth="1"/>
  </cols>
  <sheetData>
    <row r="1" ht="15">
      <c r="A1" s="108" t="s">
        <v>252</v>
      </c>
    </row>
    <row r="2" spans="1:7" ht="12.75">
      <c r="A2" s="110" t="s">
        <v>137</v>
      </c>
      <c r="B2" s="110" t="s">
        <v>138</v>
      </c>
      <c r="C2" s="110" t="s">
        <v>139</v>
      </c>
      <c r="D2" s="110" t="s">
        <v>140</v>
      </c>
      <c r="E2" s="110" t="s">
        <v>141</v>
      </c>
      <c r="F2" s="110"/>
      <c r="G2" s="110"/>
    </row>
    <row r="3" spans="1:7" ht="12.75">
      <c r="A3" s="111" t="s">
        <v>142</v>
      </c>
      <c r="B3" s="111" t="s">
        <v>143</v>
      </c>
      <c r="C3" s="111" t="s">
        <v>144</v>
      </c>
      <c r="D3" s="111" t="s">
        <v>145</v>
      </c>
      <c r="E3" s="111" t="s">
        <v>146</v>
      </c>
      <c r="F3" s="111" t="s">
        <v>140</v>
      </c>
      <c r="G3" s="111" t="s">
        <v>30</v>
      </c>
    </row>
    <row r="4" spans="1:7" ht="12.75">
      <c r="A4" s="112"/>
      <c r="B4" s="112"/>
      <c r="C4" s="112"/>
      <c r="D4" s="112"/>
      <c r="E4" s="112"/>
      <c r="F4" s="112"/>
      <c r="G4" s="112"/>
    </row>
    <row r="5" ht="12.75">
      <c r="A5" s="109" t="s">
        <v>147</v>
      </c>
    </row>
    <row r="6" spans="1:7" ht="12.75">
      <c r="A6" s="109" t="s">
        <v>148</v>
      </c>
      <c r="B6" s="109" t="e">
        <f>+'PLAINVIEW 07-08'!B53+'PLAINVIEW 07-08'!B54+'PLAINVIEW 07-08'!B60+GENERAL!#REF!+GENERAL!#REF!+GENERAL!#REF!+'PLAINVIEW 07-08'!F53+'PLAINVIEW 07-08'!F54+'PLAINVIEW 07-08'!F60</f>
        <v>#REF!</v>
      </c>
      <c r="C6" s="109">
        <f>+'PLAINVIEW 07-08'!B56</f>
        <v>0</v>
      </c>
      <c r="D6" s="109">
        <f>+'PLAINVIEW 07-08'!B55</f>
        <v>2704.62</v>
      </c>
      <c r="E6" s="109">
        <f>+'PLAINVIEW 07-08'!B58+'PLAINVIEW 07-08'!B59</f>
        <v>0</v>
      </c>
      <c r="F6" s="109" t="e">
        <f>+'PLAINVIEW 07-08'!B44</f>
        <v>#REF!</v>
      </c>
      <c r="G6" s="109" t="e">
        <f aca="true" t="shared" si="0" ref="G6:G14">SUM(B6:F6)</f>
        <v>#REF!</v>
      </c>
    </row>
    <row r="7" spans="1:7" ht="12.75">
      <c r="A7" s="109" t="s">
        <v>149</v>
      </c>
      <c r="B7" s="109" t="e">
        <f>+'PLAINVIEW 07-08'!C53+'PLAINVIEW 07-08'!C54+'PLAINVIEW 07-08'!D53+'PLAINVIEW 07-08'!D54+'PLAINVIEW 07-08'!C60+'PLAINVIEW 07-08'!D60</f>
        <v>#REF!</v>
      </c>
      <c r="C7" s="109">
        <f>+'PLAINVIEW 07-08'!C56+'PLAINVIEW 07-08'!D56</f>
        <v>0</v>
      </c>
      <c r="D7" s="109" t="e">
        <f>+'PLAINVIEW 07-08'!C55+'PLAINVIEW 07-08'!D55</f>
        <v>#REF!</v>
      </c>
      <c r="E7" s="109">
        <f>+'PLAINVIEW 07-08'!C58+'PLAINVIEW 07-08'!C59+'PLAINVIEW 07-08'!D58+'PLAINVIEW 07-08'!D59</f>
        <v>0</v>
      </c>
      <c r="G7" s="109" t="e">
        <f t="shared" si="0"/>
        <v>#REF!</v>
      </c>
    </row>
    <row r="8" spans="1:7" ht="12.75">
      <c r="A8" s="109" t="s">
        <v>150</v>
      </c>
      <c r="B8" s="109" t="e">
        <f>+'PLAINVIEW 07-08'!E53+'PLAINVIEW 07-08'!E54+'PLAINVIEW 07-08'!E60</f>
        <v>#REF!</v>
      </c>
      <c r="C8" s="109">
        <f>'PLAINVIEW 07-08'!E56</f>
        <v>0</v>
      </c>
      <c r="D8" s="109" t="e">
        <f>'PLAINVIEW 07-08'!E55</f>
        <v>#REF!</v>
      </c>
      <c r="E8" s="109">
        <f>+'PLAINVIEW 07-08'!E59+'PLAINVIEW 07-08'!E58</f>
        <v>0</v>
      </c>
      <c r="G8" s="109" t="e">
        <f t="shared" si="0"/>
        <v>#REF!</v>
      </c>
    </row>
    <row r="9" spans="1:7" ht="12.75">
      <c r="A9" s="109" t="s">
        <v>151</v>
      </c>
      <c r="B9" s="109" t="e">
        <f>+'PLAINVIEW 07-08'!C36+'PLAINVIEW 07-08'!C37+'PLAINVIEW 07-08'!C43</f>
        <v>#REF!</v>
      </c>
      <c r="C9" s="109">
        <f>+'PLAINVIEW 07-08'!C39</f>
        <v>62629.5</v>
      </c>
      <c r="D9" s="109">
        <f>'PLAINVIEW 07-08'!C38</f>
        <v>24758.38</v>
      </c>
      <c r="E9" s="109" t="e">
        <f>+'PLAINVIEW 07-08'!C42+'PLAINVIEW 07-08'!C41</f>
        <v>#REF!</v>
      </c>
      <c r="F9" s="109">
        <f>+'PLAINVIEW 07-08'!C44</f>
        <v>0</v>
      </c>
      <c r="G9" s="109" t="e">
        <f t="shared" si="0"/>
        <v>#REF!</v>
      </c>
    </row>
    <row r="10" spans="1:7" ht="12.75">
      <c r="A10" s="109" t="s">
        <v>152</v>
      </c>
      <c r="G10" s="109">
        <f t="shared" si="0"/>
        <v>0</v>
      </c>
    </row>
    <row r="11" spans="1:7" ht="12.75">
      <c r="A11" s="109" t="s">
        <v>153</v>
      </c>
      <c r="G11" s="109">
        <f t="shared" si="0"/>
        <v>0</v>
      </c>
    </row>
    <row r="12" spans="1:7" ht="12.75">
      <c r="A12" s="109" t="s">
        <v>154</v>
      </c>
      <c r="B12" s="109" t="e">
        <f>+'PLAINVIEW 07-08'!G53+'PLAINVIEW 07-08'!G54+'PLAINVIEW 07-08'!G60</f>
        <v>#REF!</v>
      </c>
      <c r="C12" s="109">
        <f>'PLAINVIEW 07-08'!G56</f>
        <v>0</v>
      </c>
      <c r="D12" s="109" t="e">
        <f>'PLAINVIEW 07-08'!G55</f>
        <v>#REF!</v>
      </c>
      <c r="E12" s="109">
        <f>+'PLAINVIEW 07-08'!G59+'PLAINVIEW 07-08'!G58</f>
        <v>0</v>
      </c>
      <c r="G12" s="109" t="e">
        <f t="shared" si="0"/>
        <v>#REF!</v>
      </c>
    </row>
    <row r="13" spans="1:7" ht="12.75">
      <c r="A13" s="109" t="s">
        <v>155</v>
      </c>
      <c r="B13" s="109" t="e">
        <f>+'PLAINVIEW 07-08'!H53+'PLAINVIEW 07-08'!H54+'PLAINVIEW 07-08'!I53+'PLAINVIEW 07-08'!I54+'PLAINVIEW 07-08'!H60+'PLAINVIEW 07-08'!I60</f>
        <v>#REF!</v>
      </c>
      <c r="C13" s="109">
        <f>'PLAINVIEW 07-08'!H56+'PLAINVIEW 07-08'!I56</f>
        <v>3317.33</v>
      </c>
      <c r="D13" s="109" t="e">
        <f>'PLAINVIEW 07-08'!H55+'PLAINVIEW 07-08'!I55</f>
        <v>#REF!</v>
      </c>
      <c r="E13" s="109">
        <f>+'PLAINVIEW 07-08'!H59+'PLAINVIEW 07-08'!H58+'PLAINVIEW 07-08'!I59+'PLAINVIEW 07-08'!I58</f>
        <v>0</v>
      </c>
      <c r="G13" s="109" t="e">
        <f t="shared" si="0"/>
        <v>#REF!</v>
      </c>
    </row>
    <row r="14" spans="1:7" ht="12.75">
      <c r="A14" s="109" t="s">
        <v>156</v>
      </c>
      <c r="B14" s="109">
        <f>'PLAINVIEW 07-08'!D36+'PLAINVIEW 07-08'!D37+'PLAINVIEW 07-08'!E36+'PLAINVIEW 07-08'!E37+'PLAINVIEW 07-08'!H36+'PLAINVIEW 07-08'!H37+'PLAINVIEW 07-08'!D43+'PLAINVIEW 07-08'!E43+'PLAINVIEW 07-08'!H43</f>
        <v>0</v>
      </c>
      <c r="C14" s="109">
        <f>'PLAINVIEW 07-08'!D39+'PLAINVIEW 07-08'!E39+'PLAINVIEW 07-08'!H39</f>
        <v>56459</v>
      </c>
      <c r="D14" s="109">
        <f>'PLAINVIEW 07-08'!D38+'PLAINVIEW 07-08'!E38+'PLAINVIEW 07-08'!H38</f>
        <v>154182.41</v>
      </c>
      <c r="E14" s="109">
        <f>+'PLAINVIEW 07-08'!D41+'PLAINVIEW 07-08'!D42+'PLAINVIEW 07-08'!E42+'PLAINVIEW 07-08'!E41+'PLAINVIEW 07-08'!G41+'PLAINVIEW 07-08'!G42</f>
        <v>0</v>
      </c>
      <c r="F14" s="109">
        <f>+'PLAINVIEW 07-08'!D44+'PLAINVIEW 07-08'!E44+'PLAINVIEW 07-08'!G44+'PLAINVIEW 07-08'!H44</f>
        <v>0</v>
      </c>
      <c r="G14" s="109">
        <f t="shared" si="0"/>
        <v>210641.41</v>
      </c>
    </row>
    <row r="15" spans="1:7" ht="12.75">
      <c r="A15" s="109" t="s">
        <v>157</v>
      </c>
      <c r="B15" s="109" t="e">
        <f>+'PLAINVIEW 07-08'!F36+'PLAINVIEW 07-08'!F37+'PLAINVIEW 07-08'!F43+'PLAINVIEW 07-08'!G37+'PLAINVIEW 07-08'!G36+'PLAINVIEW 07-08'!G43+'PLAINVIEW 07-08'!I36+'PLAINVIEW 07-08'!I37+'PLAINVIEW 07-08'!I43+'PLAINVIEW 07-08'!J36+'PLAINVIEW 07-08'!J37+'PLAINVIEW 07-08'!J43</f>
        <v>#REF!</v>
      </c>
      <c r="C15" s="109">
        <f>'PLAINVIEW 07-08'!F39+'PLAINVIEW 07-08'!G39+'PLAINVIEW 07-08'!I39+'PLAINVIEW 07-08'!J39</f>
        <v>0</v>
      </c>
      <c r="D15" s="109" t="e">
        <f>+'PLAINVIEW 07-08'!F38+'PLAINVIEW 07-08'!G38+'PLAINVIEW 07-08'!I38+'PLAINVIEW 07-08'!J38</f>
        <v>#REF!</v>
      </c>
      <c r="E15" s="109" t="e">
        <f>+'PLAINVIEW 07-08'!J41+'PLAINVIEW 07-08'!J42+'PLAINVIEW 07-08'!K41+'PLAINVIEW 07-08'!K42</f>
        <v>#REF!</v>
      </c>
      <c r="F15" s="109" t="e">
        <f>+'PLAINVIEW 07-08'!F44+'PLAINVIEW 07-08'!G44+'PLAINVIEW 07-08'!I44+'PLAINVIEW 07-08'!J44</f>
        <v>#REF!</v>
      </c>
      <c r="G15" s="109" t="e">
        <f>SUM(B15:F15)</f>
        <v>#REF!</v>
      </c>
    </row>
    <row r="16" ht="12.75">
      <c r="A16" s="109" t="s">
        <v>158</v>
      </c>
    </row>
    <row r="17" spans="1:7" ht="12.75">
      <c r="A17" s="109" t="s">
        <v>159</v>
      </c>
      <c r="G17" s="109">
        <f aca="true" t="shared" si="1" ref="G17:G26">SUM(B17:F17)</f>
        <v>0</v>
      </c>
    </row>
    <row r="18" spans="1:7" ht="12.75">
      <c r="A18" s="109" t="s">
        <v>160</v>
      </c>
      <c r="G18" s="109">
        <f t="shared" si="1"/>
        <v>0</v>
      </c>
    </row>
    <row r="19" spans="1:7" ht="12.75">
      <c r="A19" s="109" t="s">
        <v>161</v>
      </c>
      <c r="G19" s="109">
        <f t="shared" si="1"/>
        <v>0</v>
      </c>
    </row>
    <row r="20" spans="1:7" ht="12.75">
      <c r="A20" s="109" t="s">
        <v>162</v>
      </c>
      <c r="G20" s="109">
        <f t="shared" si="1"/>
        <v>0</v>
      </c>
    </row>
    <row r="21" spans="1:7" ht="12.75">
      <c r="A21" s="109" t="s">
        <v>163</v>
      </c>
      <c r="B21" s="109" t="e">
        <f>+'PLAINVIEW 07-08'!N36+'PLAINVIEW 07-08'!N37+'PLAINVIEW 07-08'!N43</f>
        <v>#REF!</v>
      </c>
      <c r="C21" s="109">
        <f>+'PLAINVIEW 07-08'!N39</f>
        <v>0</v>
      </c>
      <c r="D21" s="109" t="e">
        <f>+'PLAINVIEW 07-08'!N38</f>
        <v>#REF!</v>
      </c>
      <c r="E21" s="109" t="e">
        <f>+'PLAINVIEW 07-08'!N42+'PLAINVIEW 07-08'!N41</f>
        <v>#REF!</v>
      </c>
      <c r="F21" s="109">
        <f>+'PLAINVIEW 07-08'!N44</f>
        <v>0</v>
      </c>
      <c r="G21" s="109" t="e">
        <f t="shared" si="1"/>
        <v>#REF!</v>
      </c>
    </row>
    <row r="22" spans="1:7" ht="12.75">
      <c r="A22" s="109" t="s">
        <v>164</v>
      </c>
      <c r="G22" s="109">
        <f t="shared" si="1"/>
        <v>0</v>
      </c>
    </row>
    <row r="23" spans="1:7" ht="12.75">
      <c r="A23" s="109" t="s">
        <v>165</v>
      </c>
      <c r="B23" s="109" t="e">
        <f>+'PLAINVIEW 07-08'!M36+'PLAINVIEW 07-08'!M37+'PLAINVIEW 07-08'!M43</f>
        <v>#REF!</v>
      </c>
      <c r="C23" s="109">
        <f>+'PLAINVIEW 07-08'!M39</f>
        <v>0</v>
      </c>
      <c r="D23" s="109" t="e">
        <f>+'PLAINVIEW 07-08'!M38</f>
        <v>#REF!</v>
      </c>
      <c r="E23" s="109" t="e">
        <f>+'PLAINVIEW 07-08'!M42+'PLAINVIEW 07-08'!M41</f>
        <v>#REF!</v>
      </c>
      <c r="G23" s="109" t="e">
        <f t="shared" si="1"/>
        <v>#REF!</v>
      </c>
    </row>
    <row r="24" spans="1:7" ht="12.75">
      <c r="A24" s="109" t="s">
        <v>166</v>
      </c>
      <c r="B24" s="109" t="e">
        <f>+'PLAINVIEW 07-08'!L36+'PLAINVIEW 07-08'!L37+'PLAINVIEW 07-08'!L43</f>
        <v>#REF!</v>
      </c>
      <c r="C24" s="109">
        <f>+'PLAINVIEW 07-08'!L39</f>
        <v>0</v>
      </c>
      <c r="D24" s="109" t="e">
        <f>+'PLAINVIEW 07-08'!L38</f>
        <v>#REF!</v>
      </c>
      <c r="E24" s="109">
        <f>+'PLAINVIEW 07-08'!L41+'PLAINVIEW 07-08'!L42</f>
        <v>0</v>
      </c>
      <c r="G24" s="109" t="e">
        <f t="shared" si="1"/>
        <v>#REF!</v>
      </c>
    </row>
    <row r="25" spans="1:7" ht="12.75">
      <c r="A25" s="109" t="s">
        <v>167</v>
      </c>
      <c r="G25" s="109">
        <f t="shared" si="1"/>
        <v>0</v>
      </c>
    </row>
    <row r="26" spans="1:7" ht="12.75">
      <c r="A26" s="109" t="s">
        <v>168</v>
      </c>
      <c r="G26" s="109">
        <f t="shared" si="1"/>
        <v>0</v>
      </c>
    </row>
    <row r="28" ht="12.75">
      <c r="A28" s="109" t="s">
        <v>169</v>
      </c>
    </row>
    <row r="29" spans="1:7" ht="12.75">
      <c r="A29" s="109" t="s">
        <v>170</v>
      </c>
      <c r="B29" s="109" t="e">
        <f aca="true" t="shared" si="2" ref="B29:G29">SUM(B6:B26)</f>
        <v>#REF!</v>
      </c>
      <c r="C29" s="109">
        <f t="shared" si="2"/>
        <v>122405.83</v>
      </c>
      <c r="D29" s="109" t="e">
        <f t="shared" si="2"/>
        <v>#REF!</v>
      </c>
      <c r="E29" s="109" t="e">
        <f t="shared" si="2"/>
        <v>#REF!</v>
      </c>
      <c r="F29" s="109" t="e">
        <f t="shared" si="2"/>
        <v>#REF!</v>
      </c>
      <c r="G29" s="109" t="e">
        <f t="shared" si="2"/>
        <v>#REF!</v>
      </c>
    </row>
  </sheetData>
  <sheetProtection/>
  <printOptions/>
  <pageMargins left="0.75" right="0.75" top="1" bottom="1" header="0.5" footer="0.5"/>
  <pageSetup horizontalDpi="300" verticalDpi="300" orientation="portrait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80"/>
  <sheetViews>
    <sheetView showGridLines="0" zoomScaleSheetLayoutView="75" zoomScalePageLayoutView="0" workbookViewId="0" topLeftCell="A1">
      <pane xSplit="2" ySplit="7" topLeftCell="C50" activePane="bottomRight" state="frozen"/>
      <selection pane="topLeft" activeCell="I104" sqref="I104"/>
      <selection pane="topRight" activeCell="I104" sqref="I104"/>
      <selection pane="bottomLeft" activeCell="I104" sqref="I104"/>
      <selection pane="bottomRight" activeCell="H34" sqref="H34"/>
    </sheetView>
  </sheetViews>
  <sheetFormatPr defaultColWidth="9.00390625" defaultRowHeight="12.75"/>
  <cols>
    <col min="1" max="1" width="4.625" style="22" customWidth="1"/>
    <col min="2" max="2" width="20.625" style="22" customWidth="1"/>
    <col min="3" max="7" width="11.625" style="22" customWidth="1"/>
    <col min="8" max="16384" width="9.00390625" style="22" customWidth="1"/>
  </cols>
  <sheetData>
    <row r="1" spans="1:7" ht="12.75">
      <c r="A1" s="210" t="s">
        <v>267</v>
      </c>
      <c r="B1" s="211"/>
      <c r="C1" s="211"/>
      <c r="D1" s="211"/>
      <c r="E1" s="211"/>
      <c r="F1" s="211"/>
      <c r="G1" s="21"/>
    </row>
    <row r="2" spans="1:7" ht="12.75">
      <c r="A2" s="210" t="s">
        <v>467</v>
      </c>
      <c r="B2" s="211"/>
      <c r="C2" s="211"/>
      <c r="D2" s="211"/>
      <c r="E2" s="211"/>
      <c r="F2" s="211"/>
      <c r="G2" s="21"/>
    </row>
    <row r="3" spans="1:7" ht="12.75">
      <c r="A3" s="3"/>
      <c r="B3" s="3"/>
      <c r="C3" s="3"/>
      <c r="D3" s="3"/>
      <c r="E3" s="3"/>
      <c r="F3" s="3"/>
      <c r="G3" s="21"/>
    </row>
    <row r="4" spans="1:7" ht="12.75">
      <c r="A4" s="3"/>
      <c r="B4" s="3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  <c r="G4" s="37"/>
    </row>
    <row r="5" spans="1:7" ht="12.75">
      <c r="A5" s="3"/>
      <c r="B5" s="3"/>
      <c r="C5" s="36" t="s">
        <v>2</v>
      </c>
      <c r="D5" s="36" t="s">
        <v>2</v>
      </c>
      <c r="E5" s="36" t="s">
        <v>2</v>
      </c>
      <c r="F5" s="36" t="s">
        <v>2</v>
      </c>
      <c r="G5" s="21"/>
    </row>
    <row r="6" spans="1:7" ht="12.75">
      <c r="A6" s="3"/>
      <c r="B6" s="3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  <c r="G6" s="37"/>
    </row>
    <row r="7" spans="1:7" ht="12.75">
      <c r="A7" s="3"/>
      <c r="B7" s="3"/>
      <c r="C7" s="7" t="s">
        <v>3</v>
      </c>
      <c r="D7" s="36" t="s">
        <v>194</v>
      </c>
      <c r="E7" s="36" t="s">
        <v>191</v>
      </c>
      <c r="F7" s="36" t="s">
        <v>191</v>
      </c>
      <c r="G7" s="21"/>
    </row>
    <row r="8" spans="1:7" ht="12.75">
      <c r="A8" s="3"/>
      <c r="B8" s="3"/>
      <c r="C8" s="3"/>
      <c r="D8" s="3"/>
      <c r="E8" s="3"/>
      <c r="F8" s="3"/>
      <c r="G8" s="21"/>
    </row>
    <row r="9" spans="1:7" s="53" customFormat="1" ht="12.75">
      <c r="A9" s="5" t="s">
        <v>4</v>
      </c>
      <c r="B9" s="5"/>
      <c r="C9" s="5"/>
      <c r="D9" s="5"/>
      <c r="E9" s="5"/>
      <c r="F9" s="5"/>
      <c r="G9" s="23"/>
    </row>
    <row r="10" spans="1:7" ht="12.75">
      <c r="A10" s="8">
        <v>511</v>
      </c>
      <c r="B10" s="3" t="s">
        <v>20</v>
      </c>
      <c r="C10" s="3">
        <v>8903.35</v>
      </c>
      <c r="D10" s="161">
        <v>9244.26</v>
      </c>
      <c r="E10" s="161">
        <v>9000</v>
      </c>
      <c r="F10" s="161">
        <v>9000</v>
      </c>
      <c r="G10" s="21" t="s">
        <v>7</v>
      </c>
    </row>
    <row r="11" spans="1:7" ht="12.75">
      <c r="A11" s="8">
        <v>514</v>
      </c>
      <c r="B11" s="3" t="s">
        <v>23</v>
      </c>
      <c r="C11" s="3">
        <v>680.44</v>
      </c>
      <c r="D11" s="161">
        <v>708.57</v>
      </c>
      <c r="E11" s="161">
        <v>689</v>
      </c>
      <c r="F11" s="161">
        <v>689</v>
      </c>
      <c r="G11" s="21" t="s">
        <v>7</v>
      </c>
    </row>
    <row r="12" spans="1:7" ht="12.75">
      <c r="A12" s="8">
        <v>521</v>
      </c>
      <c r="B12" s="3" t="s">
        <v>26</v>
      </c>
      <c r="C12" s="3">
        <v>0</v>
      </c>
      <c r="D12" s="161">
        <v>0</v>
      </c>
      <c r="E12" s="161">
        <v>0</v>
      </c>
      <c r="F12" s="161">
        <v>0</v>
      </c>
      <c r="G12" s="21" t="s">
        <v>7</v>
      </c>
    </row>
    <row r="13" spans="1:7" ht="12.75">
      <c r="A13" s="8">
        <v>524</v>
      </c>
      <c r="B13" s="3" t="s">
        <v>266</v>
      </c>
      <c r="C13" s="3">
        <v>189.75</v>
      </c>
      <c r="D13" s="161">
        <v>150</v>
      </c>
      <c r="E13" s="161">
        <v>100</v>
      </c>
      <c r="F13" s="161">
        <v>150</v>
      </c>
      <c r="G13" s="21"/>
    </row>
    <row r="14" spans="1:7" ht="12.75">
      <c r="A14" s="8">
        <v>525</v>
      </c>
      <c r="B14" s="3" t="s">
        <v>27</v>
      </c>
      <c r="C14" s="3">
        <v>1096.78</v>
      </c>
      <c r="D14" s="161">
        <v>985.23</v>
      </c>
      <c r="E14" s="161">
        <v>1069</v>
      </c>
      <c r="F14" s="161">
        <v>1083.5</v>
      </c>
      <c r="G14" s="21"/>
    </row>
    <row r="15" spans="1:7" ht="12.75">
      <c r="A15" s="8">
        <v>526</v>
      </c>
      <c r="B15" s="3" t="s">
        <v>36</v>
      </c>
      <c r="C15" s="3">
        <v>302.53</v>
      </c>
      <c r="D15" s="161">
        <v>231.6</v>
      </c>
      <c r="E15" s="161">
        <v>300</v>
      </c>
      <c r="F15" s="161">
        <v>250</v>
      </c>
      <c r="G15" s="21" t="s">
        <v>7</v>
      </c>
    </row>
    <row r="16" spans="1:7" ht="12.75">
      <c r="A16" s="8">
        <v>532</v>
      </c>
      <c r="B16" s="3" t="s">
        <v>264</v>
      </c>
      <c r="C16" s="3">
        <v>41115.03</v>
      </c>
      <c r="D16" s="161">
        <v>38776.52</v>
      </c>
      <c r="E16" s="161">
        <v>5000</v>
      </c>
      <c r="F16" s="161">
        <v>8000</v>
      </c>
      <c r="G16" s="21" t="s">
        <v>7</v>
      </c>
    </row>
    <row r="17" spans="1:8" ht="12.75">
      <c r="A17" s="8"/>
      <c r="B17" s="3" t="s">
        <v>694</v>
      </c>
      <c r="C17" s="3">
        <v>0</v>
      </c>
      <c r="D17" s="161">
        <v>64000</v>
      </c>
      <c r="E17" s="161" t="s">
        <v>7</v>
      </c>
      <c r="F17" s="161">
        <v>24000</v>
      </c>
      <c r="G17" s="21" t="s">
        <v>7</v>
      </c>
      <c r="H17" s="22" t="s">
        <v>727</v>
      </c>
    </row>
    <row r="18" spans="1:7" ht="12.75">
      <c r="A18" s="8">
        <v>561</v>
      </c>
      <c r="B18" s="3" t="s">
        <v>265</v>
      </c>
      <c r="C18" s="3">
        <v>6218.68</v>
      </c>
      <c r="D18" s="161">
        <v>0</v>
      </c>
      <c r="E18" s="161">
        <v>9575</v>
      </c>
      <c r="F18" s="161">
        <v>0</v>
      </c>
      <c r="G18" s="21"/>
    </row>
    <row r="19" spans="1:7" ht="12.75">
      <c r="A19" s="8">
        <v>562</v>
      </c>
      <c r="B19" s="3" t="s">
        <v>195</v>
      </c>
      <c r="C19" s="15">
        <v>76.05</v>
      </c>
      <c r="D19" s="167">
        <v>0</v>
      </c>
      <c r="E19" s="167">
        <v>154</v>
      </c>
      <c r="F19" s="167">
        <v>0</v>
      </c>
      <c r="G19" s="21"/>
    </row>
    <row r="20" spans="1:7" ht="9" customHeight="1">
      <c r="A20" s="3"/>
      <c r="B20" s="3"/>
      <c r="C20" s="3"/>
      <c r="E20" s="3"/>
      <c r="G20" s="21"/>
    </row>
    <row r="21" spans="1:7" ht="23.25" customHeight="1">
      <c r="A21" s="5" t="s">
        <v>30</v>
      </c>
      <c r="B21" s="5"/>
      <c r="C21" s="5">
        <f>SUM(C10:C19)</f>
        <v>58582.61000000001</v>
      </c>
      <c r="D21" s="5">
        <f>SUM(D10:D19)</f>
        <v>114096.18</v>
      </c>
      <c r="E21" s="5">
        <f>SUM(E10:E19)</f>
        <v>25887</v>
      </c>
      <c r="F21" s="5">
        <f>SUM(F10:F19)</f>
        <v>43172.5</v>
      </c>
      <c r="G21" s="23"/>
    </row>
    <row r="22" spans="1:7" ht="12.75">
      <c r="A22" s="3"/>
      <c r="B22" s="3" t="s">
        <v>11</v>
      </c>
      <c r="C22" s="15">
        <v>0</v>
      </c>
      <c r="D22" s="30">
        <v>0</v>
      </c>
      <c r="E22" s="15">
        <v>0</v>
      </c>
      <c r="F22" s="27">
        <v>0</v>
      </c>
      <c r="G22" s="21"/>
    </row>
    <row r="23" spans="1:9" s="35" customFormat="1" ht="21.75" customHeight="1">
      <c r="A23" s="5" t="s">
        <v>12</v>
      </c>
      <c r="B23" s="3"/>
      <c r="C23" s="119">
        <f>SUM(C21:C22)</f>
        <v>58582.61000000001</v>
      </c>
      <c r="D23" s="119">
        <f>SUM(D21:D22)</f>
        <v>114096.18</v>
      </c>
      <c r="E23" s="119">
        <f>SUM(E21:E22)</f>
        <v>25887</v>
      </c>
      <c r="F23" s="119">
        <f>SUM(F21:F22)</f>
        <v>43172.5</v>
      </c>
      <c r="G23" s="23" t="s">
        <v>7</v>
      </c>
      <c r="H23" s="22">
        <f>SUM(D23-E23)</f>
        <v>88209.18</v>
      </c>
      <c r="I23" s="22"/>
    </row>
    <row r="24" spans="1:9" s="35" customFormat="1" ht="12.75">
      <c r="A24" s="3"/>
      <c r="B24" s="3"/>
      <c r="C24" s="86"/>
      <c r="D24" s="115"/>
      <c r="E24" s="86"/>
      <c r="F24" s="115"/>
      <c r="G24" s="21"/>
      <c r="H24" s="22"/>
      <c r="I24" s="22"/>
    </row>
    <row r="25" spans="1:9" s="35" customFormat="1" ht="12.75">
      <c r="A25" s="5" t="s">
        <v>13</v>
      </c>
      <c r="B25" s="33"/>
      <c r="C25" s="86"/>
      <c r="D25" s="115"/>
      <c r="E25" s="86"/>
      <c r="F25" s="115"/>
      <c r="G25" s="21"/>
      <c r="H25" s="22"/>
      <c r="I25" s="22"/>
    </row>
    <row r="26" spans="1:9" s="35" customFormat="1" ht="15" customHeight="1">
      <c r="A26" s="3" t="s">
        <v>42</v>
      </c>
      <c r="B26" s="33"/>
      <c r="C26" s="86" t="s">
        <v>7</v>
      </c>
      <c r="D26" s="127">
        <v>0</v>
      </c>
      <c r="E26" s="84">
        <v>0</v>
      </c>
      <c r="F26" s="127">
        <v>0</v>
      </c>
      <c r="G26" s="21"/>
      <c r="H26" s="22"/>
      <c r="I26" s="22"/>
    </row>
    <row r="27" spans="1:9" s="35" customFormat="1" ht="15.75" customHeight="1">
      <c r="A27" s="3">
        <v>423</v>
      </c>
      <c r="B27" s="3" t="s">
        <v>281</v>
      </c>
      <c r="C27" s="86">
        <v>1575.25</v>
      </c>
      <c r="D27" s="160">
        <v>1744</v>
      </c>
      <c r="E27" s="160">
        <v>500</v>
      </c>
      <c r="F27" s="160">
        <v>500</v>
      </c>
      <c r="G27" s="21"/>
      <c r="H27" s="22"/>
      <c r="I27" s="22"/>
    </row>
    <row r="28" spans="1:9" s="35" customFormat="1" ht="15.75" customHeight="1">
      <c r="A28" s="3">
        <v>426</v>
      </c>
      <c r="B28" s="3" t="s">
        <v>302</v>
      </c>
      <c r="C28" s="86">
        <v>0</v>
      </c>
      <c r="D28" s="160">
        <v>0</v>
      </c>
      <c r="E28" s="160">
        <v>250</v>
      </c>
      <c r="F28" s="160">
        <v>250</v>
      </c>
      <c r="G28" s="21"/>
      <c r="H28" s="22"/>
      <c r="I28" s="22"/>
    </row>
    <row r="29" spans="1:9" s="35" customFormat="1" ht="15.75" customHeight="1">
      <c r="A29" s="3">
        <v>466</v>
      </c>
      <c r="B29" s="3" t="s">
        <v>424</v>
      </c>
      <c r="C29" s="86">
        <v>31110.49</v>
      </c>
      <c r="D29" s="160">
        <v>2815.41</v>
      </c>
      <c r="E29" s="160">
        <v>2000</v>
      </c>
      <c r="F29" s="160">
        <v>2500</v>
      </c>
      <c r="G29" s="21" t="s">
        <v>7</v>
      </c>
      <c r="H29" s="22"/>
      <c r="I29" s="22"/>
    </row>
    <row r="30" spans="1:9" s="35" customFormat="1" ht="15.75" customHeight="1">
      <c r="A30" s="3">
        <v>456</v>
      </c>
      <c r="B30" s="3" t="s">
        <v>369</v>
      </c>
      <c r="C30" s="86">
        <v>38793.97</v>
      </c>
      <c r="D30" s="160">
        <v>46226.13</v>
      </c>
      <c r="E30" s="160">
        <v>25000</v>
      </c>
      <c r="F30" s="160">
        <v>40000</v>
      </c>
      <c r="G30" s="21" t="s">
        <v>7</v>
      </c>
      <c r="H30" s="22"/>
      <c r="I30" s="22"/>
    </row>
    <row r="31" spans="1:9" s="35" customFormat="1" ht="15.75" customHeight="1">
      <c r="A31" s="3">
        <v>429</v>
      </c>
      <c r="B31" s="3" t="s">
        <v>195</v>
      </c>
      <c r="C31" s="86">
        <v>0</v>
      </c>
      <c r="D31" s="160">
        <v>0</v>
      </c>
      <c r="E31" s="160">
        <v>150</v>
      </c>
      <c r="F31" s="160">
        <v>0</v>
      </c>
      <c r="G31" s="21"/>
      <c r="H31" s="22"/>
      <c r="I31" s="22"/>
    </row>
    <row r="32" spans="1:9" s="35" customFormat="1" ht="15.75" customHeight="1">
      <c r="A32" s="3"/>
      <c r="B32" s="3" t="s">
        <v>239</v>
      </c>
      <c r="C32" s="86">
        <v>0</v>
      </c>
      <c r="D32" s="160">
        <v>60000</v>
      </c>
      <c r="E32" s="160" t="s">
        <v>7</v>
      </c>
      <c r="F32" s="160" t="s">
        <v>7</v>
      </c>
      <c r="G32" s="21"/>
      <c r="H32" s="22"/>
      <c r="I32" s="22"/>
    </row>
    <row r="33" spans="1:9" s="35" customFormat="1" ht="15.75" customHeight="1">
      <c r="A33" s="3"/>
      <c r="B33" s="3" t="s">
        <v>391</v>
      </c>
      <c r="C33" s="118"/>
      <c r="D33" s="166"/>
      <c r="E33" s="166"/>
      <c r="F33" s="166">
        <v>24000</v>
      </c>
      <c r="G33" s="21"/>
      <c r="H33" s="22"/>
      <c r="I33" s="22"/>
    </row>
    <row r="34" spans="1:9" s="35" customFormat="1" ht="15.75" customHeight="1">
      <c r="A34" s="3">
        <v>499</v>
      </c>
      <c r="B34" s="3" t="s">
        <v>317</v>
      </c>
      <c r="C34" s="118"/>
      <c r="D34" s="166">
        <v>9880.33</v>
      </c>
      <c r="E34" s="166">
        <v>0</v>
      </c>
      <c r="F34" s="166">
        <v>0</v>
      </c>
      <c r="G34" s="21"/>
      <c r="H34" s="22" t="s">
        <v>726</v>
      </c>
      <c r="I34" s="22"/>
    </row>
    <row r="35" spans="1:9" s="35" customFormat="1" ht="12.75">
      <c r="A35" s="3"/>
      <c r="B35" s="3"/>
      <c r="C35" s="86"/>
      <c r="D35" s="115"/>
      <c r="E35" s="86"/>
      <c r="F35" s="115"/>
      <c r="G35" s="21"/>
      <c r="H35" s="22"/>
      <c r="I35" s="22"/>
    </row>
    <row r="36" spans="1:9" s="35" customFormat="1" ht="12.75">
      <c r="A36" s="5" t="s">
        <v>16</v>
      </c>
      <c r="B36" s="3"/>
      <c r="C36" s="84">
        <f>SUM(C26:C35)</f>
        <v>71479.71</v>
      </c>
      <c r="D36" s="84">
        <f>SUM(D26:D35)</f>
        <v>120665.87</v>
      </c>
      <c r="E36" s="84">
        <f>SUM(E26:E35)</f>
        <v>27900</v>
      </c>
      <c r="F36" s="84">
        <f>SUM(F26:F35)</f>
        <v>67250</v>
      </c>
      <c r="G36" s="23" t="s">
        <v>7</v>
      </c>
      <c r="H36" s="22">
        <f>SUM(D36-E36)</f>
        <v>92765.87</v>
      </c>
      <c r="I36" s="22"/>
    </row>
    <row r="37" spans="1:9" s="35" customFormat="1" ht="13.5" customHeight="1">
      <c r="A37" s="3"/>
      <c r="B37" s="3" t="s">
        <v>17</v>
      </c>
      <c r="C37" s="118">
        <f>SUM(C23)</f>
        <v>58582.61000000001</v>
      </c>
      <c r="D37" s="118">
        <f>+D23</f>
        <v>114096.18</v>
      </c>
      <c r="E37" s="118">
        <f>+E23</f>
        <v>25887</v>
      </c>
      <c r="F37" s="118">
        <f>+F23</f>
        <v>43172.5</v>
      </c>
      <c r="G37" s="23"/>
      <c r="H37" s="22"/>
      <c r="I37" s="22"/>
    </row>
    <row r="38" spans="1:9" s="35" customFormat="1" ht="20.25" customHeight="1">
      <c r="A38" s="5" t="s">
        <v>18</v>
      </c>
      <c r="B38" s="3"/>
      <c r="C38" s="119">
        <f>SUM(C36-C37)</f>
        <v>12897.099999999999</v>
      </c>
      <c r="D38" s="119">
        <f>SUM(D36-D37)</f>
        <v>6569.690000000002</v>
      </c>
      <c r="E38" s="119">
        <f>SUM(E36-E37)</f>
        <v>2013</v>
      </c>
      <c r="F38" s="119">
        <f>SUM(F36-F37)</f>
        <v>24077.5</v>
      </c>
      <c r="G38" s="23" t="s">
        <v>7</v>
      </c>
      <c r="H38" s="22"/>
      <c r="I38" s="22"/>
    </row>
    <row r="39" spans="1:7" ht="12.75">
      <c r="A39" s="21"/>
      <c r="B39" s="21"/>
      <c r="C39" s="21"/>
      <c r="D39" s="21"/>
      <c r="E39" s="21"/>
      <c r="F39" s="21"/>
      <c r="G39" s="21"/>
    </row>
    <row r="40" spans="1:7" ht="12.75">
      <c r="A40" s="21"/>
      <c r="B40" s="21"/>
      <c r="C40" s="21"/>
      <c r="D40" s="21"/>
      <c r="E40" s="21"/>
      <c r="F40" s="21"/>
      <c r="G40" s="21"/>
    </row>
    <row r="41" spans="1:7" ht="12.75">
      <c r="A41" s="21"/>
      <c r="B41" s="21"/>
      <c r="C41" s="21" t="s">
        <v>459</v>
      </c>
      <c r="D41" s="21"/>
      <c r="E41" s="21"/>
      <c r="F41" s="21"/>
      <c r="G41" s="21"/>
    </row>
    <row r="42" spans="1:7" ht="12.75">
      <c r="A42" s="21"/>
      <c r="B42" s="21"/>
      <c r="C42" s="21" t="s">
        <v>660</v>
      </c>
      <c r="D42" s="21"/>
      <c r="E42" s="21"/>
      <c r="F42" s="21"/>
      <c r="G42" s="21"/>
    </row>
    <row r="43" spans="1:7" ht="12.75">
      <c r="A43" s="21"/>
      <c r="B43" s="21" t="s">
        <v>7</v>
      </c>
      <c r="C43" s="21" t="s">
        <v>466</v>
      </c>
      <c r="D43" s="21"/>
      <c r="E43" s="21"/>
      <c r="F43" s="21"/>
      <c r="G43" s="21"/>
    </row>
    <row r="44" spans="1:7" ht="12.75">
      <c r="A44" s="21"/>
      <c r="B44" s="21"/>
      <c r="C44" s="21"/>
      <c r="D44" s="21"/>
      <c r="E44" s="21"/>
      <c r="F44" s="21"/>
      <c r="G44" s="21"/>
    </row>
    <row r="45" spans="1:7" ht="12.75">
      <c r="A45" s="21"/>
      <c r="B45" s="21"/>
      <c r="C45" s="21"/>
      <c r="D45" s="21"/>
      <c r="E45" s="21"/>
      <c r="F45" s="21"/>
      <c r="G45" s="21"/>
    </row>
    <row r="46" spans="1:7" s="53" customFormat="1" ht="12.75">
      <c r="A46" s="23" t="s">
        <v>7</v>
      </c>
      <c r="B46" s="23" t="s">
        <v>283</v>
      </c>
      <c r="C46" s="23"/>
      <c r="D46" s="23"/>
      <c r="E46" s="23"/>
      <c r="F46" s="23"/>
      <c r="G46" s="23"/>
    </row>
    <row r="47" spans="1:7" ht="12.75">
      <c r="A47" s="21"/>
      <c r="B47" s="21"/>
      <c r="C47" s="21"/>
      <c r="D47" s="21"/>
      <c r="E47" s="21"/>
      <c r="F47" s="21"/>
      <c r="G47" s="21"/>
    </row>
    <row r="48" spans="1:7" s="53" customFormat="1" ht="12.75">
      <c r="A48" s="23">
        <v>511</v>
      </c>
      <c r="B48" s="23" t="s">
        <v>20</v>
      </c>
      <c r="C48" s="23" t="s">
        <v>7</v>
      </c>
      <c r="D48" s="23" t="s">
        <v>7</v>
      </c>
      <c r="E48" s="23" t="s">
        <v>7</v>
      </c>
      <c r="F48" s="23"/>
      <c r="G48" s="23"/>
    </row>
    <row r="49" spans="1:7" ht="12.75">
      <c r="A49" s="21"/>
      <c r="B49" s="21" t="s">
        <v>612</v>
      </c>
      <c r="C49" s="21"/>
      <c r="D49" s="21" t="s">
        <v>7</v>
      </c>
      <c r="E49" s="21"/>
      <c r="F49" s="21"/>
      <c r="G49" s="21"/>
    </row>
    <row r="50" spans="1:7" ht="12.75">
      <c r="A50" s="21"/>
      <c r="B50" s="21" t="s">
        <v>7</v>
      </c>
      <c r="C50" s="21"/>
      <c r="D50" s="21"/>
      <c r="E50" s="21"/>
      <c r="F50" s="23">
        <v>9000</v>
      </c>
      <c r="G50" s="21"/>
    </row>
    <row r="51" spans="1:7" s="53" customFormat="1" ht="12.75">
      <c r="A51" s="23">
        <v>514</v>
      </c>
      <c r="B51" s="23" t="s">
        <v>23</v>
      </c>
      <c r="C51" s="23"/>
      <c r="D51" s="23"/>
      <c r="E51" s="23"/>
      <c r="F51" s="23"/>
      <c r="G51" s="23"/>
    </row>
    <row r="52" spans="1:7" ht="12.75">
      <c r="A52" s="21"/>
      <c r="B52" s="21" t="s">
        <v>625</v>
      </c>
      <c r="C52" s="21"/>
      <c r="D52" s="21"/>
      <c r="E52" s="21"/>
      <c r="F52" s="23"/>
      <c r="G52" s="21"/>
    </row>
    <row r="53" spans="1:7" ht="12.75">
      <c r="A53" s="21"/>
      <c r="B53" s="21"/>
      <c r="C53" s="21"/>
      <c r="D53" s="21"/>
      <c r="E53" s="21"/>
      <c r="F53" s="23">
        <v>689</v>
      </c>
      <c r="G53" s="21"/>
    </row>
    <row r="54" spans="1:7" s="53" customFormat="1" ht="12.75">
      <c r="A54" s="23">
        <v>521</v>
      </c>
      <c r="B54" s="23" t="s">
        <v>263</v>
      </c>
      <c r="C54" s="23" t="s">
        <v>7</v>
      </c>
      <c r="D54" s="23"/>
      <c r="E54" s="23"/>
      <c r="F54" s="23"/>
      <c r="G54" s="23"/>
    </row>
    <row r="55" spans="1:7" s="53" customFormat="1" ht="12.75">
      <c r="A55" s="23"/>
      <c r="B55" s="21" t="s">
        <v>7</v>
      </c>
      <c r="C55" s="23"/>
      <c r="D55" s="21" t="s">
        <v>7</v>
      </c>
      <c r="E55" s="21"/>
      <c r="F55" s="23"/>
      <c r="G55" s="23"/>
    </row>
    <row r="56" spans="1:7" ht="12.75">
      <c r="A56" s="21"/>
      <c r="B56" s="21"/>
      <c r="C56" s="21"/>
      <c r="D56" s="21"/>
      <c r="E56" s="21"/>
      <c r="F56" s="23">
        <v>0</v>
      </c>
      <c r="G56" s="21"/>
    </row>
    <row r="57" spans="1:7" s="53" customFormat="1" ht="12.75">
      <c r="A57" s="23">
        <v>524</v>
      </c>
      <c r="B57" s="23" t="s">
        <v>266</v>
      </c>
      <c r="C57" s="23" t="s">
        <v>7</v>
      </c>
      <c r="D57" s="23" t="s">
        <v>7</v>
      </c>
      <c r="E57" s="23"/>
      <c r="F57" s="23"/>
      <c r="G57" s="23"/>
    </row>
    <row r="58" spans="1:7" ht="12.75">
      <c r="A58" s="21"/>
      <c r="B58" s="21" t="s">
        <v>284</v>
      </c>
      <c r="C58" s="21"/>
      <c r="D58" s="21" t="s">
        <v>7</v>
      </c>
      <c r="E58" s="21"/>
      <c r="F58" s="23">
        <v>150</v>
      </c>
      <c r="G58" s="21"/>
    </row>
    <row r="59" spans="1:7" ht="12.75">
      <c r="A59" s="21"/>
      <c r="B59" s="21"/>
      <c r="C59" s="21"/>
      <c r="D59" s="21"/>
      <c r="E59" s="21"/>
      <c r="F59" s="23"/>
      <c r="G59" s="21"/>
    </row>
    <row r="60" spans="1:7" s="53" customFormat="1" ht="12.75">
      <c r="A60" s="23">
        <v>525</v>
      </c>
      <c r="B60" s="23" t="s">
        <v>27</v>
      </c>
      <c r="C60" s="23" t="s">
        <v>7</v>
      </c>
      <c r="D60" s="23" t="s">
        <v>7</v>
      </c>
      <c r="E60" s="23"/>
      <c r="F60" s="23"/>
      <c r="G60" s="23"/>
    </row>
    <row r="61" spans="1:7" ht="12.75">
      <c r="A61" s="21"/>
      <c r="B61" s="21" t="s">
        <v>7</v>
      </c>
      <c r="C61" s="21"/>
      <c r="D61" s="21" t="s">
        <v>7</v>
      </c>
      <c r="F61" s="23"/>
      <c r="G61" s="21"/>
    </row>
    <row r="62" spans="1:7" ht="12.75">
      <c r="A62" s="21"/>
      <c r="B62" s="21"/>
      <c r="C62" s="21"/>
      <c r="D62" s="21"/>
      <c r="E62" s="21"/>
      <c r="F62" s="23">
        <v>1084</v>
      </c>
      <c r="G62" s="21"/>
    </row>
    <row r="63" spans="1:7" s="53" customFormat="1" ht="12.75">
      <c r="A63" s="23">
        <v>526</v>
      </c>
      <c r="B63" s="23" t="s">
        <v>36</v>
      </c>
      <c r="C63" s="23" t="s">
        <v>7</v>
      </c>
      <c r="D63" s="23" t="s">
        <v>7</v>
      </c>
      <c r="E63" s="23"/>
      <c r="F63" s="23"/>
      <c r="G63" s="23"/>
    </row>
    <row r="64" spans="1:7" ht="12.75">
      <c r="A64" s="21"/>
      <c r="B64" s="21" t="s">
        <v>285</v>
      </c>
      <c r="C64" s="21"/>
      <c r="D64" s="21" t="s">
        <v>7</v>
      </c>
      <c r="E64" s="21"/>
      <c r="F64" s="23"/>
      <c r="G64" s="21"/>
    </row>
    <row r="65" spans="1:7" ht="12.75">
      <c r="A65" s="21"/>
      <c r="B65" s="21"/>
      <c r="C65" s="21"/>
      <c r="D65" s="21"/>
      <c r="E65" s="21"/>
      <c r="F65" s="23">
        <v>250</v>
      </c>
      <c r="G65" s="21"/>
    </row>
    <row r="66" spans="1:7" s="53" customFormat="1" ht="12.75">
      <c r="A66" s="23">
        <v>532</v>
      </c>
      <c r="B66" s="23" t="s">
        <v>264</v>
      </c>
      <c r="C66" s="23" t="s">
        <v>7</v>
      </c>
      <c r="D66" s="23" t="s">
        <v>7</v>
      </c>
      <c r="F66" s="23"/>
      <c r="G66" s="23"/>
    </row>
    <row r="67" spans="1:7" ht="12.75">
      <c r="A67" s="21"/>
      <c r="B67" s="21" t="s">
        <v>286</v>
      </c>
      <c r="C67" s="21"/>
      <c r="D67" s="22" t="s">
        <v>7</v>
      </c>
      <c r="E67" s="21"/>
      <c r="F67" s="23">
        <v>8000</v>
      </c>
      <c r="G67" s="21"/>
    </row>
    <row r="68" spans="1:7" s="53" customFormat="1" ht="12.75">
      <c r="A68" s="23"/>
      <c r="B68" s="23"/>
      <c r="C68" s="23"/>
      <c r="D68" s="23"/>
      <c r="E68" s="23"/>
      <c r="F68" s="23" t="s">
        <v>7</v>
      </c>
      <c r="G68" s="23"/>
    </row>
    <row r="69" spans="1:7" s="53" customFormat="1" ht="12.75">
      <c r="A69" s="23">
        <v>554</v>
      </c>
      <c r="B69" s="23" t="s">
        <v>349</v>
      </c>
      <c r="C69" s="23"/>
      <c r="D69" s="23"/>
      <c r="E69" s="23"/>
      <c r="F69" s="23"/>
      <c r="G69" s="23"/>
    </row>
    <row r="70" spans="1:7" s="53" customFormat="1" ht="12.75">
      <c r="A70" s="23"/>
      <c r="B70" s="23"/>
      <c r="C70" s="23"/>
      <c r="D70" s="23"/>
      <c r="E70" s="23"/>
      <c r="F70" s="23"/>
      <c r="G70" s="23"/>
    </row>
    <row r="71" spans="1:6" ht="12.75">
      <c r="A71" s="53">
        <v>561</v>
      </c>
      <c r="B71" s="53" t="s">
        <v>265</v>
      </c>
      <c r="C71" s="53"/>
      <c r="D71" s="53"/>
      <c r="E71" s="53"/>
      <c r="F71" s="53"/>
    </row>
    <row r="72" spans="2:6" ht="12.75">
      <c r="B72" s="22" t="s">
        <v>7</v>
      </c>
      <c r="D72" s="22" t="s">
        <v>7</v>
      </c>
      <c r="F72" s="53"/>
    </row>
    <row r="73" spans="2:6" ht="12.75">
      <c r="B73" s="53" t="s">
        <v>716</v>
      </c>
      <c r="F73" s="53">
        <v>24000</v>
      </c>
    </row>
    <row r="74" ht="12.75">
      <c r="F74" s="53"/>
    </row>
    <row r="75" spans="1:6" ht="12.75">
      <c r="A75" s="53">
        <v>562</v>
      </c>
      <c r="B75" s="53" t="s">
        <v>195</v>
      </c>
      <c r="C75" s="53"/>
      <c r="D75" s="53"/>
      <c r="E75" s="53"/>
      <c r="F75" s="53"/>
    </row>
    <row r="76" spans="2:6" ht="12.75">
      <c r="B76" s="22" t="s">
        <v>287</v>
      </c>
      <c r="D76" s="22" t="s">
        <v>7</v>
      </c>
      <c r="F76" s="53">
        <v>0</v>
      </c>
    </row>
    <row r="77" ht="12.75">
      <c r="F77" s="53"/>
    </row>
    <row r="78" ht="12.75">
      <c r="F78" s="53"/>
    </row>
    <row r="79" ht="12.75">
      <c r="F79" s="53"/>
    </row>
    <row r="80" spans="2:6" ht="12.75">
      <c r="B80" s="22" t="s">
        <v>311</v>
      </c>
      <c r="F80" s="53">
        <f>SUM(F48:F76)</f>
        <v>43173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r:id="rId1"/>
  <headerFooter alignWithMargins="0">
    <oddFooter>&amp;CPage &amp;P&amp;RC &amp; D SITE</oddFooter>
  </headerFooter>
  <rowBreaks count="1" manualBreakCount="1">
    <brk id="40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I127"/>
  <sheetViews>
    <sheetView showGridLines="0" zoomScaleSheetLayoutView="100" workbookViewId="0" topLeftCell="A4">
      <selection activeCell="F36" sqref="F36"/>
    </sheetView>
  </sheetViews>
  <sheetFormatPr defaultColWidth="9.00390625" defaultRowHeight="12.75"/>
  <cols>
    <col min="1" max="1" width="8.25390625" style="35" customWidth="1"/>
    <col min="2" max="2" width="23.75390625" style="35" customWidth="1"/>
    <col min="3" max="3" width="12.125" style="117" customWidth="1"/>
    <col min="4" max="4" width="13.625" style="125" customWidth="1"/>
    <col min="5" max="5" width="12.125" style="125" customWidth="1"/>
    <col min="6" max="6" width="12.625" style="125" bestFit="1" customWidth="1"/>
    <col min="7" max="7" width="11.50390625" style="35" customWidth="1"/>
    <col min="8" max="16384" width="9.00390625" style="35" customWidth="1"/>
  </cols>
  <sheetData>
    <row r="1" spans="1:9" ht="12.75">
      <c r="A1" s="210" t="s">
        <v>267</v>
      </c>
      <c r="B1" s="211"/>
      <c r="C1" s="211"/>
      <c r="D1" s="211"/>
      <c r="E1" s="211"/>
      <c r="F1" s="211"/>
      <c r="G1" s="21"/>
      <c r="H1" s="22"/>
      <c r="I1" s="22"/>
    </row>
    <row r="2" spans="1:9" ht="12.75">
      <c r="A2" s="210" t="s">
        <v>468</v>
      </c>
      <c r="B2" s="211"/>
      <c r="C2" s="211"/>
      <c r="D2" s="211"/>
      <c r="E2" s="211"/>
      <c r="F2" s="211"/>
      <c r="G2" s="21"/>
      <c r="H2" s="22"/>
      <c r="I2" s="22"/>
    </row>
    <row r="3" spans="1:9" ht="12.75">
      <c r="A3" s="3"/>
      <c r="B3" s="3"/>
      <c r="C3" s="86"/>
      <c r="D3" s="86"/>
      <c r="E3" s="86"/>
      <c r="F3" s="86"/>
      <c r="G3" s="21"/>
      <c r="H3" s="22"/>
      <c r="I3" s="22"/>
    </row>
    <row r="4" spans="1:9" ht="12.75">
      <c r="A4" s="3"/>
      <c r="B4" s="3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  <c r="G4" s="37"/>
      <c r="H4" s="22"/>
      <c r="I4" s="22"/>
    </row>
    <row r="5" spans="1:9" ht="12.75">
      <c r="A5" s="3"/>
      <c r="B5" s="3"/>
      <c r="C5" s="36" t="s">
        <v>2</v>
      </c>
      <c r="D5" s="36" t="s">
        <v>2</v>
      </c>
      <c r="E5" s="36" t="s">
        <v>2</v>
      </c>
      <c r="F5" s="36" t="s">
        <v>2</v>
      </c>
      <c r="G5" s="21"/>
      <c r="H5" s="22"/>
      <c r="I5" s="22"/>
    </row>
    <row r="6" spans="1:9" ht="12.75">
      <c r="A6" s="3"/>
      <c r="B6" s="3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  <c r="G6" s="37"/>
      <c r="H6" s="22"/>
      <c r="I6" s="22"/>
    </row>
    <row r="7" spans="1:9" ht="12.75">
      <c r="A7" s="3"/>
      <c r="B7" s="3"/>
      <c r="C7" s="86" t="s">
        <v>3</v>
      </c>
      <c r="D7" s="115" t="s">
        <v>194</v>
      </c>
      <c r="E7" s="115" t="s">
        <v>191</v>
      </c>
      <c r="F7" s="115" t="s">
        <v>191</v>
      </c>
      <c r="G7" s="21"/>
      <c r="H7" s="22"/>
      <c r="I7" s="22"/>
    </row>
    <row r="8" spans="1:9" ht="12.75">
      <c r="A8" s="5" t="s">
        <v>4</v>
      </c>
      <c r="B8" s="3"/>
      <c r="C8" s="86"/>
      <c r="D8" s="77"/>
      <c r="E8" s="86"/>
      <c r="F8" s="86"/>
      <c r="G8" s="21"/>
      <c r="H8" s="22"/>
      <c r="I8" s="22"/>
    </row>
    <row r="9" spans="1:9" ht="14.25" customHeight="1">
      <c r="A9" s="3">
        <v>511</v>
      </c>
      <c r="B9" s="3" t="s">
        <v>20</v>
      </c>
      <c r="C9" s="86">
        <v>27554.91</v>
      </c>
      <c r="D9" s="160">
        <v>29363.56</v>
      </c>
      <c r="E9" s="160">
        <v>28288</v>
      </c>
      <c r="F9" s="160">
        <v>30812</v>
      </c>
      <c r="G9" s="21" t="s">
        <v>7</v>
      </c>
      <c r="H9" s="22"/>
      <c r="I9" s="22"/>
    </row>
    <row r="10" spans="1:9" ht="12.75">
      <c r="A10" s="3">
        <v>513</v>
      </c>
      <c r="B10" s="3" t="s">
        <v>22</v>
      </c>
      <c r="C10" s="86">
        <v>9893.76</v>
      </c>
      <c r="D10" s="160">
        <v>22463.12</v>
      </c>
      <c r="E10" s="160">
        <v>21696</v>
      </c>
      <c r="F10" s="160">
        <v>20507</v>
      </c>
      <c r="G10" s="21"/>
      <c r="H10" s="22"/>
      <c r="I10" s="22"/>
    </row>
    <row r="11" spans="1:9" ht="12.75">
      <c r="A11" s="3">
        <v>514</v>
      </c>
      <c r="B11" s="3" t="s">
        <v>23</v>
      </c>
      <c r="C11" s="86">
        <v>2260.17</v>
      </c>
      <c r="D11" s="160">
        <v>2288.4</v>
      </c>
      <c r="E11" s="160">
        <v>2164</v>
      </c>
      <c r="F11" s="160">
        <v>2357</v>
      </c>
      <c r="G11" s="21" t="s">
        <v>7</v>
      </c>
      <c r="H11" s="22"/>
      <c r="I11" s="22"/>
    </row>
    <row r="12" spans="1:9" ht="12.75">
      <c r="A12" s="3">
        <v>515</v>
      </c>
      <c r="B12" s="3" t="s">
        <v>339</v>
      </c>
      <c r="C12" s="86">
        <v>1462.48</v>
      </c>
      <c r="D12" s="160">
        <v>1495.68</v>
      </c>
      <c r="E12" s="160">
        <v>1414</v>
      </c>
      <c r="F12" s="160">
        <v>1541</v>
      </c>
      <c r="G12" s="21" t="s">
        <v>7</v>
      </c>
      <c r="H12" s="22"/>
      <c r="I12" s="22"/>
    </row>
    <row r="13" spans="1:9" ht="14.25" customHeight="1">
      <c r="A13" s="3">
        <v>521</v>
      </c>
      <c r="B13" s="3" t="s">
        <v>263</v>
      </c>
      <c r="C13" s="86">
        <v>45</v>
      </c>
      <c r="D13" s="160">
        <v>0</v>
      </c>
      <c r="E13" s="160">
        <v>500</v>
      </c>
      <c r="F13" s="160">
        <v>500</v>
      </c>
      <c r="G13" s="21" t="s">
        <v>7</v>
      </c>
      <c r="H13" s="22"/>
      <c r="I13" s="22"/>
    </row>
    <row r="14" spans="1:9" ht="12.75">
      <c r="A14" s="3">
        <v>522</v>
      </c>
      <c r="B14" s="3" t="s">
        <v>219</v>
      </c>
      <c r="C14" s="86">
        <v>495.03</v>
      </c>
      <c r="D14" s="160">
        <v>567.63</v>
      </c>
      <c r="E14" s="160">
        <v>450</v>
      </c>
      <c r="F14" s="160">
        <v>571</v>
      </c>
      <c r="G14" s="21" t="s">
        <v>7</v>
      </c>
      <c r="H14" s="22"/>
      <c r="I14" s="22"/>
    </row>
    <row r="15" spans="1:9" ht="15" customHeight="1">
      <c r="A15" s="3">
        <v>523</v>
      </c>
      <c r="B15" s="3" t="s">
        <v>43</v>
      </c>
      <c r="C15" s="86">
        <v>11.12</v>
      </c>
      <c r="D15" s="160">
        <v>0</v>
      </c>
      <c r="E15" s="160">
        <v>100</v>
      </c>
      <c r="F15" s="160">
        <v>100</v>
      </c>
      <c r="G15" s="21" t="s">
        <v>7</v>
      </c>
      <c r="H15" s="22"/>
      <c r="I15" s="22"/>
    </row>
    <row r="16" spans="1:9" ht="15.75" customHeight="1">
      <c r="A16" s="3">
        <v>524</v>
      </c>
      <c r="B16" s="3" t="s">
        <v>266</v>
      </c>
      <c r="C16" s="86">
        <v>80.5</v>
      </c>
      <c r="D16" s="160">
        <v>135.44</v>
      </c>
      <c r="E16" s="160">
        <v>200</v>
      </c>
      <c r="F16" s="160">
        <v>200</v>
      </c>
      <c r="G16" s="21"/>
      <c r="H16" s="22"/>
      <c r="I16" s="22"/>
    </row>
    <row r="17" spans="1:9" ht="15.75" customHeight="1">
      <c r="A17" s="3">
        <v>525</v>
      </c>
      <c r="B17" s="3" t="s">
        <v>27</v>
      </c>
      <c r="C17" s="86">
        <v>5229.89</v>
      </c>
      <c r="D17" s="160">
        <v>4503.07</v>
      </c>
      <c r="E17" s="160">
        <v>5753</v>
      </c>
      <c r="F17" s="160">
        <v>4953</v>
      </c>
      <c r="G17" s="21" t="s">
        <v>7</v>
      </c>
      <c r="H17" s="22"/>
      <c r="I17" s="22"/>
    </row>
    <row r="18" spans="1:9" ht="12.75">
      <c r="A18" s="3">
        <v>526</v>
      </c>
      <c r="B18" s="3" t="s">
        <v>36</v>
      </c>
      <c r="C18" s="86">
        <v>2730.52</v>
      </c>
      <c r="D18" s="160">
        <v>2540.31</v>
      </c>
      <c r="E18" s="160">
        <v>3025</v>
      </c>
      <c r="F18" s="160">
        <v>2750</v>
      </c>
      <c r="G18" s="21" t="s">
        <v>7</v>
      </c>
      <c r="H18" s="22"/>
      <c r="I18" s="22"/>
    </row>
    <row r="19" spans="1:9" ht="14.25" customHeight="1">
      <c r="A19" s="86">
        <v>530</v>
      </c>
      <c r="B19" s="3" t="s">
        <v>368</v>
      </c>
      <c r="C19" s="86">
        <v>144269.02</v>
      </c>
      <c r="D19" s="160">
        <v>157430.75</v>
      </c>
      <c r="E19" s="160">
        <v>160000</v>
      </c>
      <c r="F19" s="160">
        <v>160000</v>
      </c>
      <c r="G19" s="21" t="s">
        <v>7</v>
      </c>
      <c r="H19" s="22"/>
      <c r="I19" s="22"/>
    </row>
    <row r="20" spans="1:9" ht="12.75">
      <c r="A20" s="86">
        <v>532</v>
      </c>
      <c r="B20" s="3" t="s">
        <v>626</v>
      </c>
      <c r="C20" s="86">
        <v>143406.72</v>
      </c>
      <c r="D20" s="160">
        <v>109051.21</v>
      </c>
      <c r="E20" s="160">
        <v>140000</v>
      </c>
      <c r="F20" s="160">
        <v>110000</v>
      </c>
      <c r="G20" s="21" t="s">
        <v>7</v>
      </c>
      <c r="H20" s="22"/>
      <c r="I20" s="22"/>
    </row>
    <row r="21" spans="1:9" ht="12.75">
      <c r="A21" s="86"/>
      <c r="B21" s="3" t="s">
        <v>423</v>
      </c>
      <c r="C21" s="86"/>
      <c r="D21" s="160">
        <v>0</v>
      </c>
      <c r="E21" s="160" t="s">
        <v>7</v>
      </c>
      <c r="F21" s="160">
        <v>0</v>
      </c>
      <c r="G21" s="21"/>
      <c r="H21" s="22"/>
      <c r="I21" s="22"/>
    </row>
    <row r="22" spans="1:9" ht="12.75">
      <c r="A22" s="86">
        <v>554</v>
      </c>
      <c r="B22" s="3" t="s">
        <v>605</v>
      </c>
      <c r="C22" s="86">
        <v>3308.7</v>
      </c>
      <c r="D22" s="160">
        <v>93490</v>
      </c>
      <c r="E22" s="160">
        <v>60000</v>
      </c>
      <c r="F22" s="160">
        <v>0</v>
      </c>
      <c r="G22" s="21"/>
      <c r="H22" s="22"/>
      <c r="I22" s="22"/>
    </row>
    <row r="23" spans="1:9" ht="12.75">
      <c r="A23" s="86">
        <v>561</v>
      </c>
      <c r="B23" s="3" t="s">
        <v>265</v>
      </c>
      <c r="C23" s="86">
        <v>8688.29</v>
      </c>
      <c r="D23" s="160">
        <v>31885.71</v>
      </c>
      <c r="E23" s="160">
        <v>26427</v>
      </c>
      <c r="F23" s="160">
        <v>32000</v>
      </c>
      <c r="G23" s="21"/>
      <c r="H23" s="22"/>
      <c r="I23" s="22"/>
    </row>
    <row r="24" spans="1:9" ht="16.5" customHeight="1">
      <c r="A24" s="86">
        <v>562</v>
      </c>
      <c r="B24" s="3" t="s">
        <v>195</v>
      </c>
      <c r="C24" s="118">
        <v>1051.39</v>
      </c>
      <c r="D24" s="166">
        <v>2116.92</v>
      </c>
      <c r="E24" s="166">
        <v>2496</v>
      </c>
      <c r="F24" s="166">
        <v>2200</v>
      </c>
      <c r="G24" s="21"/>
      <c r="H24" s="22"/>
      <c r="I24" s="22"/>
    </row>
    <row r="25" spans="1:9" ht="16.5" customHeight="1">
      <c r="A25" s="86">
        <v>563</v>
      </c>
      <c r="B25" s="3" t="s">
        <v>431</v>
      </c>
      <c r="C25" s="86"/>
      <c r="D25" s="115">
        <v>0</v>
      </c>
      <c r="E25" s="86">
        <v>0</v>
      </c>
      <c r="F25" s="115">
        <v>0</v>
      </c>
      <c r="G25" s="21"/>
      <c r="H25" s="22"/>
      <c r="I25" s="22"/>
    </row>
    <row r="26" spans="1:9" ht="16.5" customHeight="1">
      <c r="A26" s="86"/>
      <c r="B26" s="3"/>
      <c r="C26" s="86"/>
      <c r="D26" s="115"/>
      <c r="E26" s="86"/>
      <c r="F26" s="115"/>
      <c r="G26" s="21"/>
      <c r="H26" s="22"/>
      <c r="I26" s="22"/>
    </row>
    <row r="27" spans="1:9" ht="12.75">
      <c r="A27" s="5" t="s">
        <v>30</v>
      </c>
      <c r="B27" s="5"/>
      <c r="C27" s="84">
        <f>SUM(C9:C25)</f>
        <v>350487.5</v>
      </c>
      <c r="D27" s="84">
        <f>SUM(D9:D25)</f>
        <v>457331.8</v>
      </c>
      <c r="E27" s="84">
        <f>SUM(E9:E25)</f>
        <v>452513</v>
      </c>
      <c r="F27" s="84">
        <f>SUM(F9:F25)</f>
        <v>368491</v>
      </c>
      <c r="G27" s="23" t="s">
        <v>7</v>
      </c>
      <c r="H27" s="22"/>
      <c r="I27" s="22"/>
    </row>
    <row r="28" spans="1:7" s="22" customFormat="1" ht="12.75">
      <c r="A28" s="3"/>
      <c r="B28" s="3" t="s">
        <v>11</v>
      </c>
      <c r="C28" s="15">
        <v>0</v>
      </c>
      <c r="D28" s="30">
        <v>0</v>
      </c>
      <c r="E28" s="15">
        <v>0</v>
      </c>
      <c r="F28" s="27">
        <v>0</v>
      </c>
      <c r="G28" s="21"/>
    </row>
    <row r="29" spans="1:9" ht="21.75" customHeight="1">
      <c r="A29" s="5" t="s">
        <v>12</v>
      </c>
      <c r="B29" s="3"/>
      <c r="C29" s="119">
        <f>SUM(C27:C28)</f>
        <v>350487.5</v>
      </c>
      <c r="D29" s="119">
        <f>SUM(D27:D28)</f>
        <v>457331.8</v>
      </c>
      <c r="E29" s="119">
        <f>SUM(E27:E28)</f>
        <v>452513</v>
      </c>
      <c r="F29" s="119">
        <f>SUM(F27:F28)</f>
        <v>368491</v>
      </c>
      <c r="G29" s="23" t="s">
        <v>7</v>
      </c>
      <c r="H29" s="22">
        <f>SUM(D29-E29)</f>
        <v>4818.799999999988</v>
      </c>
      <c r="I29" s="22"/>
    </row>
    <row r="30" spans="1:9" ht="12.75">
      <c r="A30" s="3"/>
      <c r="B30" s="3"/>
      <c r="C30" s="86"/>
      <c r="D30" s="115"/>
      <c r="E30" s="86"/>
      <c r="F30" s="115"/>
      <c r="G30" s="21"/>
      <c r="H30" s="22"/>
      <c r="I30" s="22"/>
    </row>
    <row r="31" spans="1:9" ht="12.75">
      <c r="A31" s="5" t="s">
        <v>13</v>
      </c>
      <c r="B31" s="33"/>
      <c r="C31" s="86"/>
      <c r="D31" s="115"/>
      <c r="E31" s="86"/>
      <c r="F31" s="115"/>
      <c r="G31" s="21"/>
      <c r="H31" s="22"/>
      <c r="I31" s="22"/>
    </row>
    <row r="32" spans="1:9" ht="15" customHeight="1">
      <c r="A32" s="3" t="s">
        <v>42</v>
      </c>
      <c r="B32" s="33"/>
      <c r="C32" s="86" t="s">
        <v>7</v>
      </c>
      <c r="D32" s="127">
        <v>0</v>
      </c>
      <c r="E32" s="84">
        <v>0</v>
      </c>
      <c r="F32" s="127">
        <v>0</v>
      </c>
      <c r="G32" s="21"/>
      <c r="H32" s="22"/>
      <c r="I32" s="22"/>
    </row>
    <row r="33" spans="1:9" ht="15.75" customHeight="1">
      <c r="A33" s="3">
        <v>423</v>
      </c>
      <c r="B33" s="3" t="s">
        <v>281</v>
      </c>
      <c r="C33" s="86">
        <v>0</v>
      </c>
      <c r="D33" s="160">
        <v>0</v>
      </c>
      <c r="E33" s="160">
        <v>500</v>
      </c>
      <c r="F33" s="160">
        <v>500</v>
      </c>
      <c r="G33" s="21"/>
      <c r="H33" s="22"/>
      <c r="I33" s="22"/>
    </row>
    <row r="34" spans="1:9" ht="15.75" customHeight="1">
      <c r="A34" s="3">
        <v>426</v>
      </c>
      <c r="B34" s="3" t="s">
        <v>302</v>
      </c>
      <c r="C34" s="86">
        <v>29048.41</v>
      </c>
      <c r="D34" s="160">
        <v>0</v>
      </c>
      <c r="E34" s="160">
        <v>100</v>
      </c>
      <c r="F34" s="160">
        <v>100</v>
      </c>
      <c r="G34" s="21"/>
      <c r="H34" s="22"/>
      <c r="I34" s="22"/>
    </row>
    <row r="35" spans="1:9" ht="15.75" customHeight="1">
      <c r="A35" s="3">
        <v>456</v>
      </c>
      <c r="B35" s="3" t="s">
        <v>369</v>
      </c>
      <c r="C35" s="86">
        <v>417722.31</v>
      </c>
      <c r="D35" s="160">
        <v>359442.88</v>
      </c>
      <c r="E35" s="160">
        <v>444681</v>
      </c>
      <c r="F35" s="160">
        <v>400000</v>
      </c>
      <c r="G35" s="21" t="s">
        <v>7</v>
      </c>
      <c r="H35" s="22"/>
      <c r="I35" s="22"/>
    </row>
    <row r="36" spans="1:9" ht="15.75" customHeight="1">
      <c r="A36" s="3">
        <v>460</v>
      </c>
      <c r="B36" s="3" t="s">
        <v>422</v>
      </c>
      <c r="C36" s="86">
        <v>0</v>
      </c>
      <c r="D36" s="160">
        <v>93490</v>
      </c>
      <c r="E36" s="160">
        <v>0</v>
      </c>
      <c r="F36" s="160">
        <v>0</v>
      </c>
      <c r="G36" s="21"/>
      <c r="H36" s="22"/>
      <c r="I36" s="22"/>
    </row>
    <row r="37" spans="1:9" ht="15.75" customHeight="1">
      <c r="A37" s="3">
        <v>554</v>
      </c>
      <c r="B37" s="3" t="s">
        <v>605</v>
      </c>
      <c r="C37" s="118">
        <v>0</v>
      </c>
      <c r="D37" s="166">
        <v>0</v>
      </c>
      <c r="E37" s="166">
        <v>0</v>
      </c>
      <c r="F37" s="166">
        <v>0</v>
      </c>
      <c r="G37" s="21"/>
      <c r="H37" s="22"/>
      <c r="I37" s="22"/>
    </row>
    <row r="38" spans="1:9" ht="12.75">
      <c r="A38" s="3"/>
      <c r="B38" s="3"/>
      <c r="C38" s="86"/>
      <c r="D38" s="115"/>
      <c r="E38" s="86"/>
      <c r="F38" s="115"/>
      <c r="G38" s="21"/>
      <c r="H38" s="22"/>
      <c r="I38" s="22"/>
    </row>
    <row r="39" spans="1:9" ht="12.75">
      <c r="A39" s="5" t="s">
        <v>16</v>
      </c>
      <c r="B39" s="3"/>
      <c r="C39" s="84">
        <f>SUM(C32:C38)</f>
        <v>446770.72</v>
      </c>
      <c r="D39" s="84">
        <f>SUM(D32:D38)</f>
        <v>452932.88</v>
      </c>
      <c r="E39" s="84">
        <f>SUM(E32:E38)</f>
        <v>445281</v>
      </c>
      <c r="F39" s="84">
        <f>SUM(F32:F38)</f>
        <v>400600</v>
      </c>
      <c r="G39" s="23" t="s">
        <v>7</v>
      </c>
      <c r="H39" s="22">
        <f>SUM(D39-E39)</f>
        <v>7651.880000000005</v>
      </c>
      <c r="I39" s="22"/>
    </row>
    <row r="40" spans="1:9" ht="13.5" customHeight="1">
      <c r="A40" s="3"/>
      <c r="B40" s="3" t="s">
        <v>17</v>
      </c>
      <c r="C40" s="118">
        <f>SUM(C29)</f>
        <v>350487.5</v>
      </c>
      <c r="D40" s="118">
        <f>+D29</f>
        <v>457331.8</v>
      </c>
      <c r="E40" s="118">
        <f>+E29</f>
        <v>452513</v>
      </c>
      <c r="F40" s="118">
        <f>+F29</f>
        <v>368491</v>
      </c>
      <c r="G40" s="23"/>
      <c r="H40" s="22"/>
      <c r="I40" s="22"/>
    </row>
    <row r="41" spans="1:9" ht="20.25" customHeight="1">
      <c r="A41" s="5" t="s">
        <v>18</v>
      </c>
      <c r="B41" s="3"/>
      <c r="C41" s="119">
        <f>SUM(C39-C40)</f>
        <v>96283.21999999997</v>
      </c>
      <c r="D41" s="119">
        <f>SUM(D39-D40)</f>
        <v>-4398.919999999984</v>
      </c>
      <c r="E41" s="119">
        <f>SUM(E39-E40)</f>
        <v>-7232</v>
      </c>
      <c r="F41" s="119">
        <f>SUM(F39-F40)</f>
        <v>32109</v>
      </c>
      <c r="G41" s="23" t="s">
        <v>7</v>
      </c>
      <c r="H41" s="22"/>
      <c r="I41" s="22"/>
    </row>
    <row r="42" spans="1:9" ht="12.75">
      <c r="A42" s="22"/>
      <c r="B42" s="21"/>
      <c r="C42" s="83"/>
      <c r="D42" s="83"/>
      <c r="E42" s="83"/>
      <c r="F42" s="83"/>
      <c r="G42" s="23"/>
      <c r="H42" s="22"/>
      <c r="I42" s="22"/>
    </row>
    <row r="43" spans="1:9" ht="12.75">
      <c r="A43" s="21" t="s">
        <v>0</v>
      </c>
      <c r="B43" s="21"/>
      <c r="C43" s="21" t="s">
        <v>459</v>
      </c>
      <c r="D43" s="115"/>
      <c r="E43" s="21"/>
      <c r="F43" s="115"/>
      <c r="G43" s="21"/>
      <c r="H43" s="22"/>
      <c r="I43" s="22"/>
    </row>
    <row r="44" spans="1:9" ht="12.75">
      <c r="A44" s="21"/>
      <c r="B44" s="21"/>
      <c r="C44" s="21" t="s">
        <v>660</v>
      </c>
      <c r="D44" s="115"/>
      <c r="E44" s="21"/>
      <c r="F44" s="115"/>
      <c r="G44" s="21"/>
      <c r="H44" s="22"/>
      <c r="I44" s="22"/>
    </row>
    <row r="45" spans="1:9" ht="12.75">
      <c r="A45" s="21" t="s">
        <v>7</v>
      </c>
      <c r="B45" s="103" t="s">
        <v>469</v>
      </c>
      <c r="C45" s="115"/>
      <c r="D45" s="115"/>
      <c r="E45" s="21"/>
      <c r="F45" s="115"/>
      <c r="G45" s="21"/>
      <c r="H45" s="22"/>
      <c r="I45" s="22"/>
    </row>
    <row r="46" spans="1:9" ht="12.75">
      <c r="A46" s="21"/>
      <c r="B46" s="103"/>
      <c r="C46" s="115"/>
      <c r="D46" s="115"/>
      <c r="E46" s="21"/>
      <c r="F46" s="115"/>
      <c r="G46" s="21"/>
      <c r="H46" s="22"/>
      <c r="I46" s="22"/>
    </row>
    <row r="47" spans="1:9" ht="12.75">
      <c r="A47" s="23" t="s">
        <v>282</v>
      </c>
      <c r="B47" s="21"/>
      <c r="C47" s="115"/>
      <c r="D47" s="115"/>
      <c r="E47" s="115"/>
      <c r="F47" s="115"/>
      <c r="G47" s="21"/>
      <c r="H47" s="22"/>
      <c r="I47" s="22"/>
    </row>
    <row r="48" spans="1:9" ht="12.75">
      <c r="A48" s="23"/>
      <c r="B48" s="21"/>
      <c r="C48" s="115"/>
      <c r="D48" s="115"/>
      <c r="E48" s="115"/>
      <c r="F48" s="115"/>
      <c r="G48" s="21"/>
      <c r="H48" s="22"/>
      <c r="I48" s="22"/>
    </row>
    <row r="49" spans="1:9" ht="14.25">
      <c r="A49" s="104">
        <v>511</v>
      </c>
      <c r="B49" s="48" t="s">
        <v>20</v>
      </c>
      <c r="C49" s="65"/>
      <c r="D49" s="83"/>
      <c r="E49" s="120">
        <f>SUM(D51:D52)</f>
        <v>30811.99</v>
      </c>
      <c r="F49" s="63"/>
      <c r="G49" s="62"/>
      <c r="H49" s="22"/>
      <c r="I49" s="22"/>
    </row>
    <row r="50" spans="1:9" ht="15">
      <c r="A50" s="47"/>
      <c r="B50" s="47" t="s">
        <v>249</v>
      </c>
      <c r="C50" s="63"/>
      <c r="D50" s="64"/>
      <c r="E50" s="83"/>
      <c r="F50" s="63"/>
      <c r="G50" s="50"/>
      <c r="H50" s="22"/>
      <c r="I50" s="22"/>
    </row>
    <row r="51" spans="1:9" ht="15">
      <c r="A51" s="47"/>
      <c r="B51" s="47" t="s">
        <v>321</v>
      </c>
      <c r="C51" s="63"/>
      <c r="D51" s="63">
        <v>29914.56</v>
      </c>
      <c r="E51" s="83"/>
      <c r="F51" s="63"/>
      <c r="G51" s="50"/>
      <c r="H51" s="22"/>
      <c r="I51" s="22"/>
    </row>
    <row r="52" spans="1:9" ht="15">
      <c r="A52" s="47"/>
      <c r="B52" s="22" t="s">
        <v>686</v>
      </c>
      <c r="C52" s="63"/>
      <c r="D52" s="121">
        <v>897.43</v>
      </c>
      <c r="E52" s="83"/>
      <c r="F52" s="63"/>
      <c r="G52" s="50"/>
      <c r="H52" s="22"/>
      <c r="I52" s="22"/>
    </row>
    <row r="53" spans="1:9" ht="15">
      <c r="A53" s="47"/>
      <c r="B53" s="22"/>
      <c r="C53" s="63"/>
      <c r="D53" s="121"/>
      <c r="E53" s="83"/>
      <c r="F53" s="63"/>
      <c r="G53" s="50"/>
      <c r="H53" s="22"/>
      <c r="I53" s="22"/>
    </row>
    <row r="54" spans="1:9" ht="15">
      <c r="A54" s="104">
        <v>513</v>
      </c>
      <c r="B54" s="48" t="s">
        <v>22</v>
      </c>
      <c r="C54" s="63"/>
      <c r="D54" s="83"/>
      <c r="E54" s="120">
        <f>SUM(D55:D55)</f>
        <v>20507.28</v>
      </c>
      <c r="F54" s="63"/>
      <c r="G54" s="50"/>
      <c r="H54" s="22"/>
      <c r="I54" s="22"/>
    </row>
    <row r="55" spans="1:9" ht="15">
      <c r="A55" s="47"/>
      <c r="B55" s="47" t="s">
        <v>651</v>
      </c>
      <c r="C55" s="63"/>
      <c r="D55" s="64">
        <v>20507.28</v>
      </c>
      <c r="E55" s="83"/>
      <c r="F55" s="63"/>
      <c r="G55" s="50"/>
      <c r="H55" s="22"/>
      <c r="I55" s="22"/>
    </row>
    <row r="56" spans="1:9" ht="15">
      <c r="A56" s="47"/>
      <c r="B56" s="47"/>
      <c r="C56" s="63"/>
      <c r="D56" s="64"/>
      <c r="E56" s="83"/>
      <c r="F56" s="63"/>
      <c r="G56" s="50"/>
      <c r="H56" s="22"/>
      <c r="I56" s="22"/>
    </row>
    <row r="57" spans="1:9" ht="15">
      <c r="A57" s="104">
        <v>514</v>
      </c>
      <c r="B57" s="48" t="s">
        <v>23</v>
      </c>
      <c r="C57" s="63"/>
      <c r="D57" s="83"/>
      <c r="E57" s="120">
        <f>+D58</f>
        <v>2357.11</v>
      </c>
      <c r="F57" s="63"/>
      <c r="G57" s="50"/>
      <c r="H57" s="22"/>
      <c r="I57" s="22"/>
    </row>
    <row r="58" spans="1:9" ht="15">
      <c r="A58" s="47" t="s">
        <v>7</v>
      </c>
      <c r="B58" s="47" t="s">
        <v>7</v>
      </c>
      <c r="C58" s="63"/>
      <c r="D58" s="64">
        <v>2357.11</v>
      </c>
      <c r="E58" s="83"/>
      <c r="F58" s="63"/>
      <c r="G58" s="50"/>
      <c r="H58" s="22"/>
      <c r="I58" s="22"/>
    </row>
    <row r="59" spans="1:9" ht="15">
      <c r="A59" s="48"/>
      <c r="B59" s="47"/>
      <c r="C59" s="63"/>
      <c r="D59" s="61"/>
      <c r="E59" s="83"/>
      <c r="F59" s="63"/>
      <c r="G59" s="50"/>
      <c r="H59" s="22"/>
      <c r="I59" s="22"/>
    </row>
    <row r="60" spans="1:9" ht="15">
      <c r="A60" s="104">
        <v>515</v>
      </c>
      <c r="B60" s="48" t="s">
        <v>339</v>
      </c>
      <c r="C60" s="63"/>
      <c r="D60" s="83"/>
      <c r="E60" s="120">
        <f>SUM(D61:D61)</f>
        <v>1540.6</v>
      </c>
      <c r="F60" s="63"/>
      <c r="G60" s="50"/>
      <c r="H60" s="22"/>
      <c r="I60" s="22"/>
    </row>
    <row r="61" spans="1:9" ht="15">
      <c r="A61" s="47"/>
      <c r="B61" s="47" t="s">
        <v>7</v>
      </c>
      <c r="C61" s="63"/>
      <c r="D61" s="64">
        <v>1540.6</v>
      </c>
      <c r="E61" s="83"/>
      <c r="F61" s="63"/>
      <c r="G61" s="50"/>
      <c r="H61" s="22"/>
      <c r="I61" s="22"/>
    </row>
    <row r="62" spans="1:9" ht="15">
      <c r="A62" s="47"/>
      <c r="B62" s="47"/>
      <c r="C62" s="63"/>
      <c r="D62" s="61"/>
      <c r="E62" s="83"/>
      <c r="F62" s="63"/>
      <c r="G62" s="50"/>
      <c r="H62" s="22"/>
      <c r="I62" s="22"/>
    </row>
    <row r="63" spans="1:9" ht="15">
      <c r="A63" s="104">
        <v>521</v>
      </c>
      <c r="B63" s="48" t="s">
        <v>263</v>
      </c>
      <c r="C63" s="63"/>
      <c r="D63" s="83"/>
      <c r="E63" s="120">
        <v>500</v>
      </c>
      <c r="F63" s="63"/>
      <c r="G63" s="50"/>
      <c r="H63" s="22"/>
      <c r="I63" s="22"/>
    </row>
    <row r="64" spans="1:9" ht="15">
      <c r="A64" s="48"/>
      <c r="B64" s="47" t="s">
        <v>7</v>
      </c>
      <c r="C64" s="63"/>
      <c r="D64" s="64">
        <v>500</v>
      </c>
      <c r="E64" s="83"/>
      <c r="F64" s="63"/>
      <c r="G64" s="50"/>
      <c r="H64" s="22"/>
      <c r="I64" s="22"/>
    </row>
    <row r="65" spans="1:9" ht="15">
      <c r="A65" s="47"/>
      <c r="B65" s="47"/>
      <c r="C65" s="63"/>
      <c r="D65" s="64"/>
      <c r="E65" s="83"/>
      <c r="F65" s="63"/>
      <c r="G65" s="50"/>
      <c r="H65" s="22"/>
      <c r="I65" s="22"/>
    </row>
    <row r="66" spans="1:9" ht="15">
      <c r="A66" s="104">
        <v>522</v>
      </c>
      <c r="B66" s="48" t="s">
        <v>219</v>
      </c>
      <c r="C66" s="63"/>
      <c r="D66" s="83"/>
      <c r="E66" s="120">
        <v>571</v>
      </c>
      <c r="F66" s="63"/>
      <c r="G66" s="50"/>
      <c r="H66" s="22"/>
      <c r="I66" s="22"/>
    </row>
    <row r="67" spans="1:9" ht="15">
      <c r="A67" s="47"/>
      <c r="B67" s="47" t="s">
        <v>371</v>
      </c>
      <c r="C67" s="63"/>
      <c r="D67" s="64">
        <v>571</v>
      </c>
      <c r="E67" s="83"/>
      <c r="F67" s="61"/>
      <c r="G67" s="50"/>
      <c r="H67" s="22"/>
      <c r="I67" s="22"/>
    </row>
    <row r="68" spans="1:9" ht="15">
      <c r="A68" s="47"/>
      <c r="B68" s="49"/>
      <c r="C68" s="61"/>
      <c r="D68" s="64"/>
      <c r="E68" s="83"/>
      <c r="F68" s="63"/>
      <c r="G68" s="50"/>
      <c r="H68" s="22"/>
      <c r="I68" s="22"/>
    </row>
    <row r="69" spans="1:9" ht="15">
      <c r="A69" s="104">
        <v>523</v>
      </c>
      <c r="B69" s="48" t="s">
        <v>43</v>
      </c>
      <c r="C69" s="65"/>
      <c r="D69" s="83"/>
      <c r="E69" s="120">
        <f>SUM(D70:D70)</f>
        <v>100</v>
      </c>
      <c r="F69" s="63"/>
      <c r="G69" s="50"/>
      <c r="H69" s="22"/>
      <c r="I69" s="22"/>
    </row>
    <row r="70" spans="1:9" ht="15">
      <c r="A70" s="47"/>
      <c r="B70" s="47" t="s">
        <v>317</v>
      </c>
      <c r="C70" s="63"/>
      <c r="D70" s="64">
        <v>100</v>
      </c>
      <c r="E70" s="83"/>
      <c r="F70" s="63"/>
      <c r="G70" s="50"/>
      <c r="H70" s="22"/>
      <c r="I70" s="22"/>
    </row>
    <row r="71" spans="1:9" ht="15">
      <c r="A71" s="47"/>
      <c r="B71" s="47"/>
      <c r="C71" s="63"/>
      <c r="D71" s="63"/>
      <c r="E71" s="83"/>
      <c r="F71" s="63"/>
      <c r="G71" s="50"/>
      <c r="H71" s="22"/>
      <c r="I71" s="22"/>
    </row>
    <row r="72" spans="1:9" ht="15">
      <c r="A72" s="104">
        <v>524</v>
      </c>
      <c r="B72" s="48" t="s">
        <v>266</v>
      </c>
      <c r="C72" s="63"/>
      <c r="D72" s="83"/>
      <c r="E72" s="120">
        <f>SUM(D73:D73)</f>
        <v>200</v>
      </c>
      <c r="F72" s="63"/>
      <c r="G72" s="50"/>
      <c r="H72" s="22"/>
      <c r="I72" s="22"/>
    </row>
    <row r="73" spans="1:9" ht="15">
      <c r="A73" s="47" t="s">
        <v>7</v>
      </c>
      <c r="B73" s="47" t="s">
        <v>7</v>
      </c>
      <c r="C73" s="63"/>
      <c r="D73" s="64">
        <v>200</v>
      </c>
      <c r="E73" s="83"/>
      <c r="F73" s="63"/>
      <c r="G73" s="50"/>
      <c r="H73" s="22"/>
      <c r="I73" s="22"/>
    </row>
    <row r="74" spans="1:9" ht="15">
      <c r="A74" s="47"/>
      <c r="B74" s="47"/>
      <c r="C74" s="63"/>
      <c r="D74" s="64"/>
      <c r="E74" s="83"/>
      <c r="F74" s="63"/>
      <c r="G74" s="50"/>
      <c r="H74" s="22"/>
      <c r="I74" s="22"/>
    </row>
    <row r="75" spans="1:9" ht="15">
      <c r="A75" s="104">
        <v>525</v>
      </c>
      <c r="B75" s="48" t="s">
        <v>27</v>
      </c>
      <c r="C75" s="63"/>
      <c r="D75" s="83"/>
      <c r="E75" s="120">
        <f>SUM(D76:D76)</f>
        <v>4953.3</v>
      </c>
      <c r="F75" s="63"/>
      <c r="G75" s="50"/>
      <c r="H75" s="22"/>
      <c r="I75" s="22"/>
    </row>
    <row r="76" spans="1:9" ht="15">
      <c r="A76" s="47"/>
      <c r="B76" s="47" t="s">
        <v>7</v>
      </c>
      <c r="C76" s="63"/>
      <c r="D76" s="209">
        <v>4953.3</v>
      </c>
      <c r="E76" s="83"/>
      <c r="F76" s="63"/>
      <c r="G76" s="50"/>
      <c r="H76" s="22"/>
      <c r="I76" s="22"/>
    </row>
    <row r="77" spans="1:9" ht="15">
      <c r="A77" s="47"/>
      <c r="B77" s="49"/>
      <c r="C77" s="61"/>
      <c r="D77" s="61"/>
      <c r="E77" s="83"/>
      <c r="F77" s="63"/>
      <c r="G77" s="50"/>
      <c r="H77" s="22"/>
      <c r="I77" s="22"/>
    </row>
    <row r="78" spans="1:9" ht="15">
      <c r="A78" s="104">
        <v>526</v>
      </c>
      <c r="B78" s="48" t="s">
        <v>36</v>
      </c>
      <c r="C78" s="63"/>
      <c r="D78" s="83"/>
      <c r="E78" s="120">
        <f>SUM(D79:D79)</f>
        <v>2750</v>
      </c>
      <c r="F78" s="63"/>
      <c r="G78" s="50"/>
      <c r="H78" s="22"/>
      <c r="I78" s="22"/>
    </row>
    <row r="79" spans="1:9" ht="15">
      <c r="A79" s="47"/>
      <c r="B79" s="47" t="s">
        <v>354</v>
      </c>
      <c r="C79" s="63"/>
      <c r="D79" s="64">
        <v>2750</v>
      </c>
      <c r="E79" s="83"/>
      <c r="F79" s="63"/>
      <c r="G79" s="50"/>
      <c r="H79" s="22"/>
      <c r="I79" s="22"/>
    </row>
    <row r="80" spans="1:9" ht="15">
      <c r="A80" s="47"/>
      <c r="B80" s="47"/>
      <c r="C80" s="63"/>
      <c r="D80" s="61"/>
      <c r="E80" s="83"/>
      <c r="F80" s="63"/>
      <c r="G80" s="50"/>
      <c r="H80" s="22"/>
      <c r="I80" s="22"/>
    </row>
    <row r="81" spans="1:9" ht="15">
      <c r="A81" s="104">
        <v>530</v>
      </c>
      <c r="B81" s="48" t="s">
        <v>368</v>
      </c>
      <c r="C81" s="63"/>
      <c r="D81" s="83"/>
      <c r="E81" s="120">
        <f>SUM(D82:D82)</f>
        <v>160000</v>
      </c>
      <c r="F81" s="63"/>
      <c r="G81" s="50"/>
      <c r="H81" s="22"/>
      <c r="I81" s="22"/>
    </row>
    <row r="82" spans="1:9" ht="15">
      <c r="A82" s="47"/>
      <c r="B82" s="47" t="s">
        <v>372</v>
      </c>
      <c r="C82" s="63"/>
      <c r="D82" s="64">
        <v>160000</v>
      </c>
      <c r="E82" s="83"/>
      <c r="F82" s="63"/>
      <c r="G82" s="50"/>
      <c r="H82" s="22"/>
      <c r="I82" s="22"/>
    </row>
    <row r="83" spans="1:9" ht="15">
      <c r="A83" s="104"/>
      <c r="B83" s="47"/>
      <c r="C83" s="63"/>
      <c r="D83" s="61"/>
      <c r="E83" s="83"/>
      <c r="F83" s="63"/>
      <c r="G83" s="50"/>
      <c r="H83" s="22"/>
      <c r="I83" s="22"/>
    </row>
    <row r="84" spans="1:9" ht="15">
      <c r="A84" s="104">
        <v>532</v>
      </c>
      <c r="B84" s="48" t="s">
        <v>184</v>
      </c>
      <c r="C84" s="63"/>
      <c r="D84" s="83"/>
      <c r="E84" s="120">
        <f>+D85</f>
        <v>110000</v>
      </c>
      <c r="F84" s="63"/>
      <c r="G84" s="50"/>
      <c r="H84" s="22"/>
      <c r="I84" s="22"/>
    </row>
    <row r="85" spans="1:9" ht="15">
      <c r="A85" s="60"/>
      <c r="B85" s="47" t="s">
        <v>373</v>
      </c>
      <c r="C85" s="63"/>
      <c r="D85" s="83">
        <v>110000</v>
      </c>
      <c r="E85" s="83"/>
      <c r="F85" s="65"/>
      <c r="G85" s="50"/>
      <c r="H85" s="22"/>
      <c r="I85" s="22"/>
    </row>
    <row r="86" spans="1:9" ht="15">
      <c r="A86" s="60"/>
      <c r="B86" s="47"/>
      <c r="C86" s="63"/>
      <c r="D86" s="83"/>
      <c r="E86" s="83"/>
      <c r="F86" s="65"/>
      <c r="G86" s="50"/>
      <c r="H86" s="22"/>
      <c r="I86" s="22"/>
    </row>
    <row r="87" spans="1:9" ht="15">
      <c r="A87" s="60">
        <v>554</v>
      </c>
      <c r="B87" s="47" t="s">
        <v>594</v>
      </c>
      <c r="C87" s="63"/>
      <c r="D87" s="83">
        <v>0</v>
      </c>
      <c r="E87" s="204">
        <v>0</v>
      </c>
      <c r="F87" s="65"/>
      <c r="G87" s="50"/>
      <c r="H87" s="22"/>
      <c r="I87" s="22"/>
    </row>
    <row r="88" spans="1:9" ht="15">
      <c r="A88" s="104"/>
      <c r="B88" s="47"/>
      <c r="C88" s="63"/>
      <c r="D88" s="61"/>
      <c r="E88" s="83"/>
      <c r="F88" s="63"/>
      <c r="G88" s="50"/>
      <c r="H88" s="22"/>
      <c r="I88" s="22"/>
    </row>
    <row r="89" spans="1:9" ht="15">
      <c r="A89" s="104">
        <v>561</v>
      </c>
      <c r="B89" s="48" t="s">
        <v>265</v>
      </c>
      <c r="C89" s="63"/>
      <c r="D89" s="83"/>
      <c r="E89" s="120">
        <v>32000</v>
      </c>
      <c r="F89" s="65"/>
      <c r="G89" s="50"/>
      <c r="H89" s="22"/>
      <c r="I89" s="22"/>
    </row>
    <row r="90" spans="1:9" ht="15">
      <c r="A90" s="104"/>
      <c r="B90" s="47" t="s">
        <v>649</v>
      </c>
      <c r="C90" s="63"/>
      <c r="D90" s="83">
        <v>32000</v>
      </c>
      <c r="E90" s="120"/>
      <c r="F90" s="65"/>
      <c r="G90" s="50"/>
      <c r="H90" s="22"/>
      <c r="I90" s="22"/>
    </row>
    <row r="91" spans="1:9" ht="15">
      <c r="A91" s="47"/>
      <c r="B91" s="47"/>
      <c r="C91" s="63"/>
      <c r="D91" s="122"/>
      <c r="E91" s="83"/>
      <c r="F91" s="63"/>
      <c r="G91" s="50"/>
      <c r="H91" s="22"/>
      <c r="I91" s="22"/>
    </row>
    <row r="92" spans="1:9" ht="15">
      <c r="A92" s="104">
        <v>562</v>
      </c>
      <c r="B92" s="48" t="s">
        <v>195</v>
      </c>
      <c r="C92" s="63"/>
      <c r="D92" s="83"/>
      <c r="E92" s="65">
        <f>SUM(D93:D93)</f>
        <v>2200</v>
      </c>
      <c r="F92" s="65"/>
      <c r="G92" s="50"/>
      <c r="H92" s="22"/>
      <c r="I92" s="22"/>
    </row>
    <row r="93" spans="1:9" ht="15">
      <c r="A93" s="104"/>
      <c r="B93" s="47" t="s">
        <v>650</v>
      </c>
      <c r="C93" s="63"/>
      <c r="D93" s="64">
        <v>2200</v>
      </c>
      <c r="E93" s="65"/>
      <c r="F93" s="65"/>
      <c r="G93" s="50"/>
      <c r="H93" s="22"/>
      <c r="I93" s="22"/>
    </row>
    <row r="94" spans="1:9" ht="15">
      <c r="A94" s="47"/>
      <c r="B94" s="47"/>
      <c r="C94" s="63"/>
      <c r="D94" s="61"/>
      <c r="E94" s="83"/>
      <c r="F94" s="63"/>
      <c r="G94" s="50"/>
      <c r="H94" s="22"/>
      <c r="I94" s="22"/>
    </row>
    <row r="95" spans="1:9" ht="15">
      <c r="A95" s="104">
        <v>563</v>
      </c>
      <c r="B95" s="104" t="s">
        <v>431</v>
      </c>
      <c r="C95" s="63"/>
      <c r="D95" s="61"/>
      <c r="E95" s="204">
        <v>0</v>
      </c>
      <c r="F95" s="63"/>
      <c r="G95" s="50"/>
      <c r="H95" s="22"/>
      <c r="I95" s="22"/>
    </row>
    <row r="96" spans="1:9" ht="15">
      <c r="A96" s="47"/>
      <c r="B96" s="47"/>
      <c r="C96" s="63"/>
      <c r="D96" s="61" t="s">
        <v>7</v>
      </c>
      <c r="E96" s="83"/>
      <c r="F96" s="63"/>
      <c r="G96" s="50"/>
      <c r="H96" s="22"/>
      <c r="I96" s="22"/>
    </row>
    <row r="97" spans="1:9" ht="15">
      <c r="A97" s="47"/>
      <c r="B97" s="47"/>
      <c r="C97" s="63"/>
      <c r="D97" s="61"/>
      <c r="E97" s="83"/>
      <c r="F97" s="63"/>
      <c r="G97" s="50"/>
      <c r="H97" s="22"/>
      <c r="I97" s="22"/>
    </row>
    <row r="98" spans="1:9" ht="15">
      <c r="A98" s="105"/>
      <c r="B98" s="48" t="s">
        <v>10</v>
      </c>
      <c r="C98" s="63"/>
      <c r="D98" s="83" t="s">
        <v>7</v>
      </c>
      <c r="E98" s="120">
        <f>SUM(E49:E96)</f>
        <v>368491.28</v>
      </c>
      <c r="F98" s="63"/>
      <c r="G98" s="50"/>
      <c r="H98" s="22"/>
      <c r="I98" s="22"/>
    </row>
    <row r="99" spans="1:9" ht="15">
      <c r="A99" s="49"/>
      <c r="B99" s="47"/>
      <c r="C99" s="63"/>
      <c r="D99" s="64" t="s">
        <v>7</v>
      </c>
      <c r="E99" s="83"/>
      <c r="F99" s="63"/>
      <c r="G99" s="50"/>
      <c r="H99" s="22"/>
      <c r="I99" s="22"/>
    </row>
    <row r="100" spans="1:9" ht="15">
      <c r="A100" s="49"/>
      <c r="B100" s="47"/>
      <c r="C100" s="63"/>
      <c r="D100" s="64"/>
      <c r="E100" s="83"/>
      <c r="F100" s="63"/>
      <c r="G100" s="50"/>
      <c r="H100" s="22"/>
      <c r="I100" s="22"/>
    </row>
    <row r="101" spans="1:9" ht="15">
      <c r="A101" s="49"/>
      <c r="B101" s="47"/>
      <c r="C101" s="63"/>
      <c r="D101" s="64"/>
      <c r="E101" s="83"/>
      <c r="F101" s="63"/>
      <c r="G101" s="50"/>
      <c r="H101" s="22"/>
      <c r="I101" s="22"/>
    </row>
    <row r="102" spans="1:9" ht="15">
      <c r="A102" s="22"/>
      <c r="B102" s="47"/>
      <c r="C102" s="63"/>
      <c r="D102" s="64"/>
      <c r="E102" s="83"/>
      <c r="F102" s="123"/>
      <c r="G102" s="67"/>
      <c r="H102" s="22"/>
      <c r="I102" s="22"/>
    </row>
    <row r="103" spans="1:9" ht="15">
      <c r="A103" s="67"/>
      <c r="B103" s="47"/>
      <c r="C103" s="63"/>
      <c r="D103" s="64"/>
      <c r="E103" s="83"/>
      <c r="F103" s="63"/>
      <c r="G103" s="67"/>
      <c r="H103" s="22"/>
      <c r="I103" s="22"/>
    </row>
    <row r="104" spans="1:9" ht="15">
      <c r="A104" s="67"/>
      <c r="B104" s="47"/>
      <c r="C104" s="63"/>
      <c r="D104" s="61"/>
      <c r="E104" s="83"/>
      <c r="F104" s="63"/>
      <c r="G104" s="67"/>
      <c r="H104" s="22"/>
      <c r="I104" s="22"/>
    </row>
    <row r="105" spans="1:9" ht="15">
      <c r="A105" s="67"/>
      <c r="B105" s="66"/>
      <c r="C105" s="61"/>
      <c r="D105" s="83"/>
      <c r="E105" s="120"/>
      <c r="F105" s="61"/>
      <c r="G105" s="67"/>
      <c r="H105" s="22"/>
      <c r="I105" s="22"/>
    </row>
    <row r="106" spans="1:9" ht="15">
      <c r="A106" s="67"/>
      <c r="B106" s="49"/>
      <c r="C106" s="61"/>
      <c r="D106" s="64"/>
      <c r="E106" s="83"/>
      <c r="F106" s="124"/>
      <c r="G106" s="67"/>
      <c r="H106" s="22"/>
      <c r="I106" s="22"/>
    </row>
    <row r="107" spans="1:5" ht="12.75">
      <c r="A107" s="22"/>
      <c r="B107" s="22"/>
      <c r="C107" s="83"/>
      <c r="D107" s="83"/>
      <c r="E107" s="83"/>
    </row>
    <row r="108" spans="1:5" ht="12.75">
      <c r="A108" s="22"/>
      <c r="B108" s="22"/>
      <c r="C108" s="83"/>
      <c r="D108" s="83"/>
      <c r="E108" s="83"/>
    </row>
    <row r="109" spans="1:5" ht="12.75">
      <c r="A109" s="22"/>
      <c r="B109" s="22"/>
      <c r="C109" s="83"/>
      <c r="D109" s="83"/>
      <c r="E109" s="83"/>
    </row>
    <row r="110" spans="1:5" ht="12.75">
      <c r="A110" s="22"/>
      <c r="B110" s="22"/>
      <c r="C110" s="83"/>
      <c r="D110" s="83"/>
      <c r="E110" s="83"/>
    </row>
    <row r="111" spans="1:5" ht="12.75">
      <c r="A111" s="22"/>
      <c r="B111" s="22"/>
      <c r="C111" s="83"/>
      <c r="D111" s="83"/>
      <c r="E111" s="83"/>
    </row>
    <row r="112" spans="1:5" ht="12.75">
      <c r="A112" s="22"/>
      <c r="B112" s="22"/>
      <c r="C112" s="83"/>
      <c r="D112" s="83"/>
      <c r="E112" s="83"/>
    </row>
    <row r="113" spans="1:5" ht="12.75">
      <c r="A113" s="22"/>
      <c r="B113" s="22"/>
      <c r="C113" s="83"/>
      <c r="D113" s="83"/>
      <c r="E113" s="83"/>
    </row>
    <row r="114" spans="1:5" ht="12.75">
      <c r="A114" s="22"/>
      <c r="B114" s="22"/>
      <c r="C114" s="83"/>
      <c r="D114" s="83"/>
      <c r="E114" s="83"/>
    </row>
    <row r="115" spans="1:5" ht="12.75">
      <c r="A115" s="22"/>
      <c r="B115" s="22"/>
      <c r="C115" s="83"/>
      <c r="D115" s="83"/>
      <c r="E115" s="83"/>
    </row>
    <row r="116" spans="1:5" ht="12.75">
      <c r="A116" s="22"/>
      <c r="B116" s="22"/>
      <c r="C116" s="83"/>
      <c r="D116" s="83"/>
      <c r="E116" s="83"/>
    </row>
    <row r="117" spans="1:5" ht="12.75">
      <c r="A117" s="22"/>
      <c r="B117" s="22"/>
      <c r="C117" s="83"/>
      <c r="D117" s="83"/>
      <c r="E117" s="83"/>
    </row>
    <row r="118" spans="1:5" ht="12.75">
      <c r="A118" s="22"/>
      <c r="B118" s="22"/>
      <c r="C118" s="83"/>
      <c r="D118" s="83"/>
      <c r="E118" s="83"/>
    </row>
    <row r="119" spans="1:5" ht="12.75">
      <c r="A119" s="22"/>
      <c r="B119" s="22"/>
      <c r="C119" s="83"/>
      <c r="D119" s="83"/>
      <c r="E119" s="83"/>
    </row>
    <row r="120" spans="1:5" ht="12.75">
      <c r="A120" s="22"/>
      <c r="B120" s="22"/>
      <c r="C120" s="83"/>
      <c r="D120" s="83"/>
      <c r="E120" s="83"/>
    </row>
    <row r="121" spans="1:5" ht="12.75">
      <c r="A121" s="22"/>
      <c r="B121" s="22"/>
      <c r="C121" s="83"/>
      <c r="D121" s="83"/>
      <c r="E121" s="83"/>
    </row>
    <row r="122" spans="1:5" ht="12.75">
      <c r="A122" s="22"/>
      <c r="B122" s="22"/>
      <c r="C122" s="83"/>
      <c r="D122" s="83"/>
      <c r="E122" s="83"/>
    </row>
    <row r="123" spans="1:5" ht="12.75">
      <c r="A123" s="22"/>
      <c r="B123" s="22"/>
      <c r="C123" s="83"/>
      <c r="D123" s="83"/>
      <c r="E123" s="83"/>
    </row>
    <row r="124" spans="1:5" ht="12.75">
      <c r="A124" s="22"/>
      <c r="B124" s="22"/>
      <c r="C124" s="83"/>
      <c r="D124" s="83"/>
      <c r="E124" s="83"/>
    </row>
    <row r="125" spans="1:5" ht="12.75">
      <c r="A125" s="22"/>
      <c r="B125" s="22"/>
      <c r="C125" s="83"/>
      <c r="D125" s="83"/>
      <c r="E125" s="83"/>
    </row>
    <row r="126" spans="1:5" ht="12.75">
      <c r="A126" s="22"/>
      <c r="B126" s="22"/>
      <c r="C126" s="83"/>
      <c r="D126" s="83"/>
      <c r="E126" s="83"/>
    </row>
    <row r="127" spans="1:5" ht="12.75">
      <c r="A127" s="22"/>
      <c r="B127" s="22"/>
      <c r="C127" s="83"/>
      <c r="D127" s="83"/>
      <c r="E127" s="83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  <headerFooter alignWithMargins="0">
    <oddFooter>&amp;CPage &amp;P&amp;RSOLID WASTE
</oddFooter>
  </headerFooter>
  <rowBreaks count="2" manualBreakCount="2">
    <brk id="42" max="255" man="1"/>
    <brk id="80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72"/>
  <sheetViews>
    <sheetView showGridLines="0" zoomScaleSheetLayoutView="100" workbookViewId="0" topLeftCell="A1">
      <selection activeCell="F7" sqref="F7"/>
    </sheetView>
  </sheetViews>
  <sheetFormatPr defaultColWidth="27.50390625" defaultRowHeight="12.75"/>
  <cols>
    <col min="1" max="1" width="27.50390625" style="4" customWidth="1"/>
    <col min="2" max="2" width="13.75390625" style="4" customWidth="1"/>
    <col min="3" max="3" width="9.875" style="4" customWidth="1"/>
    <col min="4" max="5" width="9.25390625" style="4" customWidth="1"/>
    <col min="6" max="6" width="8.00390625" style="4" customWidth="1"/>
    <col min="7" max="8" width="8.875" style="4" customWidth="1"/>
    <col min="9" max="9" width="8.625" style="4" customWidth="1"/>
    <col min="10" max="11" width="10.125" style="4" bestFit="1" customWidth="1"/>
    <col min="12" max="12" width="10.375" style="4" customWidth="1"/>
    <col min="13" max="13" width="10.125" style="4" customWidth="1"/>
    <col min="14" max="14" width="11.50390625" style="4" customWidth="1"/>
    <col min="15" max="15" width="15.375" style="4" customWidth="1"/>
    <col min="16" max="16" width="12.50390625" style="9" customWidth="1"/>
    <col min="17" max="18" width="12.75390625" style="4" customWidth="1"/>
    <col min="19" max="16384" width="27.50390625" style="4" customWidth="1"/>
  </cols>
  <sheetData>
    <row r="1" ht="12.75">
      <c r="A1" s="8" t="s">
        <v>267</v>
      </c>
    </row>
    <row r="2" ht="12.75">
      <c r="A2" s="10" t="s">
        <v>717</v>
      </c>
    </row>
    <row r="3" spans="16:17" ht="12.75">
      <c r="P3" s="4"/>
      <c r="Q3" s="4" t="s">
        <v>7</v>
      </c>
    </row>
    <row r="4" spans="16:18" ht="12.75">
      <c r="P4" s="11" t="s">
        <v>386</v>
      </c>
      <c r="Q4" s="4" t="s">
        <v>387</v>
      </c>
      <c r="R4" s="11"/>
    </row>
    <row r="5" spans="2:18" ht="12.75">
      <c r="B5" s="7" t="s">
        <v>59</v>
      </c>
      <c r="C5" s="11" t="s">
        <v>64</v>
      </c>
      <c r="D5" s="11" t="s">
        <v>429</v>
      </c>
      <c r="E5" s="4" t="s">
        <v>111</v>
      </c>
      <c r="F5" s="11" t="s">
        <v>96</v>
      </c>
      <c r="G5" s="11" t="s">
        <v>97</v>
      </c>
      <c r="H5" s="11" t="s">
        <v>381</v>
      </c>
      <c r="I5" s="11" t="s">
        <v>380</v>
      </c>
      <c r="J5" s="11" t="s">
        <v>675</v>
      </c>
      <c r="K5" s="11" t="s">
        <v>62</v>
      </c>
      <c r="L5" s="11" t="s">
        <v>63</v>
      </c>
      <c r="M5" s="11" t="s">
        <v>681</v>
      </c>
      <c r="N5" s="11" t="s">
        <v>384</v>
      </c>
      <c r="O5" s="11" t="s">
        <v>382</v>
      </c>
      <c r="P5" s="11" t="s">
        <v>30</v>
      </c>
      <c r="Q5" s="4" t="s">
        <v>618</v>
      </c>
      <c r="R5" s="11" t="s">
        <v>30</v>
      </c>
    </row>
    <row r="6" spans="2:16" ht="12.75">
      <c r="B6" s="11"/>
      <c r="C6" s="11"/>
      <c r="D6" s="11"/>
      <c r="E6" s="11"/>
      <c r="F6" s="11"/>
      <c r="G6" s="11" t="s">
        <v>98</v>
      </c>
      <c r="H6" s="11"/>
      <c r="I6" s="11"/>
      <c r="J6" s="11" t="s">
        <v>7</v>
      </c>
      <c r="K6" s="11"/>
      <c r="L6" s="12"/>
      <c r="M6" s="11" t="s">
        <v>60</v>
      </c>
      <c r="N6" s="11" t="s">
        <v>385</v>
      </c>
      <c r="O6" s="11" t="s">
        <v>383</v>
      </c>
      <c r="P6" s="4"/>
    </row>
    <row r="7" spans="1:18" ht="12.75">
      <c r="A7" s="8" t="s">
        <v>66</v>
      </c>
      <c r="B7" s="14">
        <v>262764.11</v>
      </c>
      <c r="C7" s="14">
        <v>0</v>
      </c>
      <c r="D7" s="14">
        <v>226075.08</v>
      </c>
      <c r="E7" s="14">
        <v>10073.72</v>
      </c>
      <c r="F7" s="14">
        <v>39440.08</v>
      </c>
      <c r="G7" s="14">
        <v>19617.33</v>
      </c>
      <c r="H7" s="14">
        <v>54422.42</v>
      </c>
      <c r="I7" s="14">
        <v>117723.73</v>
      </c>
      <c r="J7" s="14">
        <v>53849.84</v>
      </c>
      <c r="K7" s="14">
        <v>115658.95</v>
      </c>
      <c r="L7" s="14">
        <v>102257.2</v>
      </c>
      <c r="M7" s="14">
        <v>0</v>
      </c>
      <c r="N7" s="14">
        <v>0</v>
      </c>
      <c r="O7" s="14">
        <f>'SOLID WASTE-TRANSFER'!F32</f>
        <v>0</v>
      </c>
      <c r="P7" s="14">
        <f>SUM(B7:O7)</f>
        <v>1001882.4599999997</v>
      </c>
      <c r="Q7" s="14">
        <v>859000</v>
      </c>
      <c r="R7" s="14">
        <f>SUM(P7:Q7)</f>
        <v>1860882.4599999997</v>
      </c>
    </row>
    <row r="8" spans="1:18" ht="12.75">
      <c r="A8" s="8"/>
      <c r="B8" s="14"/>
      <c r="C8" s="14"/>
      <c r="D8" s="14"/>
      <c r="E8" s="14"/>
      <c r="F8" s="14"/>
      <c r="G8" s="14"/>
      <c r="H8" s="14"/>
      <c r="I8" s="14"/>
      <c r="K8" s="14"/>
      <c r="L8" s="14"/>
      <c r="M8" s="14"/>
      <c r="N8" s="14"/>
      <c r="O8" s="14"/>
      <c r="P8" s="4"/>
      <c r="Q8" s="14"/>
      <c r="R8" s="14"/>
    </row>
    <row r="9" spans="1:16" ht="12.75">
      <c r="A9" s="8" t="s">
        <v>13</v>
      </c>
      <c r="B9" s="3"/>
      <c r="N9" s="4">
        <v>0</v>
      </c>
      <c r="P9" s="4"/>
    </row>
    <row r="10" spans="1:18" ht="12.75">
      <c r="A10" s="4" t="s">
        <v>67</v>
      </c>
      <c r="B10" s="4">
        <f>GENERAL!F42</f>
        <v>291618</v>
      </c>
      <c r="K10" s="4">
        <v>0</v>
      </c>
      <c r="M10" s="4">
        <f>+'OLD LIBRARY'!F22</f>
        <v>0</v>
      </c>
      <c r="P10" s="4">
        <f aca="true" t="shared" si="0" ref="P10:P48">SUM(B10:O10)</f>
        <v>291618</v>
      </c>
      <c r="R10" s="4">
        <f>SUM(P10:Q10)</f>
        <v>291618</v>
      </c>
    </row>
    <row r="11" spans="1:18" ht="12.75">
      <c r="A11" s="8" t="s">
        <v>68</v>
      </c>
      <c r="B11" s="4">
        <f>GENERAL!F35</f>
        <v>25000</v>
      </c>
      <c r="P11" s="4">
        <f t="shared" si="0"/>
        <v>25000</v>
      </c>
      <c r="R11" s="4">
        <f aca="true" t="shared" si="1" ref="R11:R30">SUM(P11:Q11)</f>
        <v>25000</v>
      </c>
    </row>
    <row r="12" spans="1:18" ht="12.75">
      <c r="A12" s="8" t="s">
        <v>69</v>
      </c>
      <c r="C12" s="4">
        <f>STREET!F33</f>
        <v>0</v>
      </c>
      <c r="P12" s="4">
        <f t="shared" si="0"/>
        <v>0</v>
      </c>
      <c r="R12" s="4">
        <f t="shared" si="1"/>
        <v>0</v>
      </c>
    </row>
    <row r="13" spans="1:18" ht="12.75">
      <c r="A13" s="4" t="s">
        <v>70</v>
      </c>
      <c r="B13" s="4" t="str">
        <f>GENERAL!F26</f>
        <v>xxxxxxxxxx</v>
      </c>
      <c r="P13" s="4">
        <f t="shared" si="0"/>
        <v>0</v>
      </c>
      <c r="R13" s="4">
        <f t="shared" si="1"/>
        <v>0</v>
      </c>
    </row>
    <row r="14" spans="1:18" ht="12.75">
      <c r="A14" s="8" t="s">
        <v>71</v>
      </c>
      <c r="B14" s="4">
        <f>+GENERAL!F31</f>
        <v>110943.07</v>
      </c>
      <c r="P14" s="4">
        <f t="shared" si="0"/>
        <v>110943.07</v>
      </c>
      <c r="R14" s="4">
        <f t="shared" si="1"/>
        <v>110943.07</v>
      </c>
    </row>
    <row r="15" spans="1:18" ht="12.75">
      <c r="A15" s="8" t="s">
        <v>72</v>
      </c>
      <c r="P15" s="4">
        <f t="shared" si="0"/>
        <v>0</v>
      </c>
      <c r="R15" s="4">
        <f t="shared" si="1"/>
        <v>0</v>
      </c>
    </row>
    <row r="16" spans="1:18" ht="12.75">
      <c r="A16" s="4" t="s">
        <v>73</v>
      </c>
      <c r="B16" s="4">
        <f>GENERAL!F33</f>
        <v>700</v>
      </c>
      <c r="P16" s="4">
        <f t="shared" si="0"/>
        <v>700</v>
      </c>
      <c r="R16" s="4">
        <f t="shared" si="1"/>
        <v>700</v>
      </c>
    </row>
    <row r="17" spans="1:18" ht="12.75">
      <c r="A17" s="8" t="s">
        <v>74</v>
      </c>
      <c r="B17" s="4" t="str">
        <f>GENERAL!F34</f>
        <v>xxxxxxxxxx</v>
      </c>
      <c r="M17" s="4">
        <f>+'OLD LIBRARY'!F23</f>
        <v>0</v>
      </c>
      <c r="P17" s="4">
        <f t="shared" si="0"/>
        <v>0</v>
      </c>
      <c r="R17" s="4">
        <f t="shared" si="1"/>
        <v>0</v>
      </c>
    </row>
    <row r="18" spans="1:18" ht="12.75">
      <c r="A18" s="8" t="s">
        <v>653</v>
      </c>
      <c r="B18" s="4">
        <v>0</v>
      </c>
      <c r="J18" s="4">
        <f>LB840!F26</f>
        <v>34000</v>
      </c>
      <c r="P18" s="4">
        <f t="shared" si="0"/>
        <v>34000</v>
      </c>
      <c r="Q18" s="4">
        <v>0</v>
      </c>
      <c r="R18" s="4">
        <f t="shared" si="1"/>
        <v>34000</v>
      </c>
    </row>
    <row r="19" spans="1:18" ht="12.75">
      <c r="A19" s="8" t="s">
        <v>104</v>
      </c>
      <c r="P19" s="4">
        <f t="shared" si="0"/>
        <v>0</v>
      </c>
      <c r="R19" s="4">
        <f t="shared" si="1"/>
        <v>0</v>
      </c>
    </row>
    <row r="20" spans="1:18" ht="12.75">
      <c r="A20" s="8" t="s">
        <v>189</v>
      </c>
      <c r="P20" s="4">
        <f t="shared" si="0"/>
        <v>0</v>
      </c>
      <c r="R20" s="4">
        <f t="shared" si="1"/>
        <v>0</v>
      </c>
    </row>
    <row r="21" spans="1:18" ht="12.75">
      <c r="A21" s="4" t="s">
        <v>190</v>
      </c>
      <c r="C21" s="4">
        <f>STREET!F34</f>
        <v>25000</v>
      </c>
      <c r="I21" s="4">
        <f>POOL!F32</f>
        <v>0</v>
      </c>
      <c r="J21" s="4" t="s">
        <v>7</v>
      </c>
      <c r="M21" s="4">
        <f>'OLD LIBRARY'!F25</f>
        <v>0</v>
      </c>
      <c r="P21" s="4">
        <f t="shared" si="0"/>
        <v>25000</v>
      </c>
      <c r="Q21" s="4">
        <f>+Q62</f>
        <v>0</v>
      </c>
      <c r="R21" s="4">
        <f t="shared" si="1"/>
        <v>25000</v>
      </c>
    </row>
    <row r="22" spans="1:18" ht="12.75">
      <c r="A22" s="4" t="s">
        <v>75</v>
      </c>
      <c r="P22" s="4">
        <f t="shared" si="0"/>
        <v>0</v>
      </c>
      <c r="R22" s="4">
        <f t="shared" si="1"/>
        <v>0</v>
      </c>
    </row>
    <row r="23" spans="1:18" ht="12.75">
      <c r="A23" s="13" t="s">
        <v>597</v>
      </c>
      <c r="B23" s="4">
        <f>GENERAL!F32</f>
        <v>8000</v>
      </c>
      <c r="P23" s="4">
        <f t="shared" si="0"/>
        <v>8000</v>
      </c>
      <c r="R23" s="4">
        <f t="shared" si="1"/>
        <v>8000</v>
      </c>
    </row>
    <row r="24" spans="1:18" ht="12.75">
      <c r="A24" s="4" t="s">
        <v>77</v>
      </c>
      <c r="P24" s="4">
        <f t="shared" si="0"/>
        <v>0</v>
      </c>
      <c r="R24" s="4">
        <f t="shared" si="1"/>
        <v>0</v>
      </c>
    </row>
    <row r="25" spans="1:18" ht="12.75">
      <c r="A25" s="8" t="s">
        <v>78</v>
      </c>
      <c r="C25" s="4">
        <f>STREET!F32</f>
        <v>163000</v>
      </c>
      <c r="P25" s="4">
        <f t="shared" si="0"/>
        <v>163000</v>
      </c>
      <c r="R25" s="4">
        <f t="shared" si="1"/>
        <v>163000</v>
      </c>
    </row>
    <row r="26" spans="1:18" ht="12.75">
      <c r="A26" s="4" t="s">
        <v>79</v>
      </c>
      <c r="B26" s="4">
        <f>GENERAL!F37</f>
        <v>0</v>
      </c>
      <c r="D26" s="4" t="str">
        <f>+'ELECTRIC PLANT'!F35</f>
        <v> </v>
      </c>
      <c r="E26" s="4">
        <f>'HOUSING AUTHORITY'!F19</f>
        <v>0</v>
      </c>
      <c r="F26" s="4">
        <f>KENO!F20</f>
        <v>0</v>
      </c>
      <c r="G26" s="4">
        <f>'COMMUNITY DEVELOPMENT'!F21</f>
        <v>0</v>
      </c>
      <c r="H26" s="4">
        <f>+'C&amp;D Site'!F31</f>
        <v>0</v>
      </c>
      <c r="I26" s="4">
        <f>POOL!F36</f>
        <v>0</v>
      </c>
      <c r="K26" s="4">
        <f>WATER!F33</f>
        <v>100</v>
      </c>
      <c r="M26" s="4">
        <f>'OLD LIBRARY'!F27</f>
        <v>0</v>
      </c>
      <c r="P26" s="4">
        <f t="shared" si="0"/>
        <v>100</v>
      </c>
      <c r="Q26" s="4">
        <v>2600</v>
      </c>
      <c r="R26" s="4">
        <f t="shared" si="1"/>
        <v>2700</v>
      </c>
    </row>
    <row r="27" spans="1:20" ht="12.75">
      <c r="A27" s="8" t="s">
        <v>80</v>
      </c>
      <c r="C27" s="4">
        <f>STREET!F37</f>
        <v>0</v>
      </c>
      <c r="D27" s="4">
        <f>'ELECTRIC PLANT'!F36+'ELECTRICAL DISTRIBUTION'!F29</f>
        <v>1400050</v>
      </c>
      <c r="H27" s="4">
        <f>'C&amp;D Site'!F27+'C&amp;D Site'!F29+'C&amp;D Site'!F30</f>
        <v>43000</v>
      </c>
      <c r="I27" s="4">
        <f>POOL!F34</f>
        <v>10500</v>
      </c>
      <c r="K27" s="4">
        <f>WATER!F34+WATER!F35</f>
        <v>160000</v>
      </c>
      <c r="L27" s="4">
        <f>SEWER!F36</f>
        <v>180500</v>
      </c>
      <c r="N27" s="4">
        <f>+'SUMMER REC'!F37</f>
        <v>0</v>
      </c>
      <c r="O27" s="4">
        <f>'SOLID WASTE-TRANSFER'!F35</f>
        <v>400000</v>
      </c>
      <c r="P27" s="4">
        <f t="shared" si="0"/>
        <v>2194050</v>
      </c>
      <c r="Q27" s="4">
        <v>2436500</v>
      </c>
      <c r="R27" s="4">
        <f t="shared" si="1"/>
        <v>4630550</v>
      </c>
      <c r="T27" s="39" t="s">
        <v>580</v>
      </c>
    </row>
    <row r="28" spans="1:20" ht="12.75">
      <c r="A28" s="4" t="s">
        <v>81</v>
      </c>
      <c r="B28" s="176">
        <f>GENERAL!F44</f>
        <v>0</v>
      </c>
      <c r="C28" s="176">
        <f>STREET!F41</f>
        <v>30000</v>
      </c>
      <c r="I28" s="39">
        <f>POOL!F35</f>
        <v>0</v>
      </c>
      <c r="K28" s="39">
        <f>+WATER!F36</f>
        <v>0</v>
      </c>
      <c r="N28" s="39">
        <f>+'SUMMER REC'!F40</f>
        <v>0</v>
      </c>
      <c r="O28" s="4">
        <v>0</v>
      </c>
      <c r="P28" s="176">
        <f t="shared" si="0"/>
        <v>30000</v>
      </c>
      <c r="R28" s="163">
        <f t="shared" si="1"/>
        <v>30000</v>
      </c>
      <c r="T28" s="4">
        <f>+B28</f>
        <v>0</v>
      </c>
    </row>
    <row r="29" spans="1:20" ht="12.75">
      <c r="A29" s="4" t="s">
        <v>474</v>
      </c>
      <c r="B29" s="4" t="str">
        <f>GENERAL!F43</f>
        <v> </v>
      </c>
      <c r="D29" s="4">
        <f>+'ELECTRICAL DISTRIBUTION'!F31</f>
        <v>0</v>
      </c>
      <c r="H29" s="4" t="str">
        <f>'C&amp;D Site'!F32</f>
        <v> </v>
      </c>
      <c r="L29" s="4" t="str">
        <f>+SEWER!F37</f>
        <v> </v>
      </c>
      <c r="O29" s="4">
        <f>'SOLID WASTE-TRANSFER'!F37</f>
        <v>0</v>
      </c>
      <c r="P29" s="4">
        <f t="shared" si="0"/>
        <v>0</v>
      </c>
      <c r="R29" s="4">
        <f t="shared" si="1"/>
        <v>0</v>
      </c>
      <c r="T29" s="4">
        <f>+C28</f>
        <v>30000</v>
      </c>
    </row>
    <row r="30" spans="1:20" ht="12.75">
      <c r="A30" s="4" t="s">
        <v>105</v>
      </c>
      <c r="P30" s="4">
        <f>SUM(B30:O30)</f>
        <v>0</v>
      </c>
      <c r="R30" s="4">
        <f t="shared" si="1"/>
        <v>0</v>
      </c>
      <c r="T30" s="4">
        <f>-D45</f>
        <v>0</v>
      </c>
    </row>
    <row r="31" spans="1:20" ht="12.75">
      <c r="A31" s="4" t="s">
        <v>402</v>
      </c>
      <c r="C31" s="4">
        <f>+STREET!F40</f>
        <v>0</v>
      </c>
      <c r="D31" s="4" t="str">
        <f>+'ELECTRIC PLANT'!F38</f>
        <v> </v>
      </c>
      <c r="L31" s="4">
        <f>SEWER!F38+SEWER!F39</f>
        <v>0</v>
      </c>
      <c r="P31" s="4">
        <f t="shared" si="0"/>
        <v>0</v>
      </c>
      <c r="R31" s="4">
        <f>SUM(P31:Q31)</f>
        <v>0</v>
      </c>
      <c r="T31" s="4">
        <f>-K45</f>
        <v>0</v>
      </c>
    </row>
    <row r="32" spans="1:20" ht="12.75">
      <c r="A32" s="4" t="s">
        <v>633</v>
      </c>
      <c r="B32" s="4">
        <f>+GENERAL!F36+GENERAL!F41</f>
        <v>30904</v>
      </c>
      <c r="P32" s="4">
        <f t="shared" si="0"/>
        <v>30904</v>
      </c>
      <c r="R32" s="4">
        <f>SUM(P32:Q32)</f>
        <v>30904</v>
      </c>
      <c r="T32" s="4">
        <f>-L45</f>
        <v>0</v>
      </c>
    </row>
    <row r="33" spans="1:18" ht="12.75">
      <c r="A33" s="4" t="s">
        <v>83</v>
      </c>
      <c r="B33" s="14">
        <f>+GENERAL!F38+GENERAL!F39+GENERAL!F40+GENERAL!F27+GENERAL!F28+GENERAL!F29</f>
        <v>107093.67</v>
      </c>
      <c r="C33" s="14">
        <f>STREET!F39+STREET!F36+STREET!F35+STREET!F38</f>
        <v>1000</v>
      </c>
      <c r="D33" s="14">
        <f>'ELECTRICAL DISTRIBUTION'!F28+'ELECTRICAL DISTRIBUTION'!F30+'ELECTRIC PLANT'!F34+'ELECTRIC PLANT'!F37</f>
        <v>5200</v>
      </c>
      <c r="E33" s="14" t="str">
        <f>'HOUSING AUTHORITY'!F18</f>
        <v> </v>
      </c>
      <c r="F33" s="14">
        <f>KENO!F19</f>
        <v>25000</v>
      </c>
      <c r="G33" s="14">
        <f>'COMMUNITY DEVELOPMENT'!F20</f>
        <v>0</v>
      </c>
      <c r="H33" s="14">
        <f>'C&amp;D Site'!F28</f>
        <v>250</v>
      </c>
      <c r="I33" s="14">
        <f>POOL!F33</f>
        <v>2000</v>
      </c>
      <c r="J33" s="14">
        <f>LB840!F27</f>
        <v>0</v>
      </c>
      <c r="K33" s="14">
        <f>WATER!F32</f>
        <v>100</v>
      </c>
      <c r="L33" s="14">
        <f>SEWER!F34</f>
        <v>1000</v>
      </c>
      <c r="M33" s="14">
        <f>'OLD LIBRARY'!F26</f>
        <v>0</v>
      </c>
      <c r="N33" s="14">
        <f>'SUMMER REC'!F34+'SUMMER REC'!F39</f>
        <v>5000</v>
      </c>
      <c r="O33" s="14">
        <f>'SOLID WASTE-TRANSFER'!F34+'SOLID WASTE-TRANSFER'!F33</f>
        <v>600</v>
      </c>
      <c r="P33" s="14">
        <f t="shared" si="0"/>
        <v>147243.66999999998</v>
      </c>
      <c r="Q33" s="14">
        <v>39400</v>
      </c>
      <c r="R33" s="14">
        <f>SUM(P33:Q33)</f>
        <v>186643.66999999998</v>
      </c>
    </row>
    <row r="34" spans="1:20" ht="12.75">
      <c r="A34" s="8" t="s">
        <v>84</v>
      </c>
      <c r="B34" s="15">
        <f>SUM(B10:B33)</f>
        <v>574258.74</v>
      </c>
      <c r="C34" s="15">
        <f aca="true" t="shared" si="2" ref="C34:O34">SUM(C10:C33)</f>
        <v>219000</v>
      </c>
      <c r="D34" s="15">
        <f t="shared" si="2"/>
        <v>1405250</v>
      </c>
      <c r="E34" s="15">
        <f t="shared" si="2"/>
        <v>0</v>
      </c>
      <c r="F34" s="15">
        <f t="shared" si="2"/>
        <v>25000</v>
      </c>
      <c r="G34" s="15">
        <f t="shared" si="2"/>
        <v>0</v>
      </c>
      <c r="H34" s="15">
        <f t="shared" si="2"/>
        <v>43250</v>
      </c>
      <c r="I34" s="15">
        <f t="shared" si="2"/>
        <v>12500</v>
      </c>
      <c r="J34" s="15">
        <f t="shared" si="2"/>
        <v>34000</v>
      </c>
      <c r="K34" s="15">
        <f t="shared" si="2"/>
        <v>160200</v>
      </c>
      <c r="L34" s="15">
        <f t="shared" si="2"/>
        <v>181500</v>
      </c>
      <c r="M34" s="15">
        <f>SUM(M10:M33)</f>
        <v>0</v>
      </c>
      <c r="N34" s="15">
        <f>SUM(N10:N33)</f>
        <v>5000</v>
      </c>
      <c r="O34" s="15">
        <f t="shared" si="2"/>
        <v>400600</v>
      </c>
      <c r="P34" s="14">
        <f t="shared" si="0"/>
        <v>3060558.74</v>
      </c>
      <c r="Q34" s="14">
        <f>SUM(Q10:Q33)</f>
        <v>2478500</v>
      </c>
      <c r="R34" s="14">
        <f>SUM(R10:R33)</f>
        <v>5539058.74</v>
      </c>
      <c r="T34" s="39">
        <f>SUM(T28:T33)</f>
        <v>30000</v>
      </c>
    </row>
    <row r="35" ht="12.75">
      <c r="P35" s="14"/>
    </row>
    <row r="36" spans="1:16" ht="12.75">
      <c r="A36" s="8" t="s">
        <v>4</v>
      </c>
      <c r="B36" s="3"/>
      <c r="P36" s="14"/>
    </row>
    <row r="37" spans="1:18" ht="12.75">
      <c r="A37" s="4" t="s">
        <v>85</v>
      </c>
      <c r="B37" s="4">
        <f>H54</f>
        <v>370650.71</v>
      </c>
      <c r="C37" s="16">
        <f>STREET!F10+STREET!F11+STREET!F12+STREET!F13</f>
        <v>49290.28</v>
      </c>
      <c r="D37" s="4">
        <f>'ELECTRICAL DISTRIBUTION'!F9+'ELECTRICAL DISTRIBUTION'!F10+'ELECTRICAL DISTRIBUTION'!F11+'ELECTRICAL DISTRIBUTION'!F12+'ELECTRIC PLANT'!F9+'ELECTRIC PLANT'!F10+'ELECTRIC PLANT'!F11+'ELECTRIC PLANT'!F12</f>
        <v>231950.53</v>
      </c>
      <c r="H37" s="4">
        <f>'C&amp;D Site'!F10+'C&amp;D Site'!F11</f>
        <v>9689</v>
      </c>
      <c r="I37" s="4">
        <f>POOL!F11+POOL!F12</f>
        <v>25920</v>
      </c>
      <c r="J37" s="4">
        <f>LB840!F11+LB840!F12</f>
        <v>1076.5</v>
      </c>
      <c r="K37" s="4">
        <f>WATER!F10+WATER!F11+WATER!F12+WATER!F13</f>
        <v>45924.75</v>
      </c>
      <c r="L37" s="4">
        <f>SEWER!F9+SEWER!F10+SEWER!F11+SEWER!F12</f>
        <v>45924</v>
      </c>
      <c r="N37" s="4">
        <f>SUM('SUMMER REC'!F11:F13)</f>
        <v>0</v>
      </c>
      <c r="O37" s="4">
        <f>'SOLID WASTE-TRANSFER'!F9+'SOLID WASTE-TRANSFER'!F10+'SOLID WASTE-TRANSFER'!F11+'SOLID WASTE-TRANSFER'!F12</f>
        <v>55217</v>
      </c>
      <c r="P37" s="4">
        <f t="shared" si="0"/>
        <v>835642.77</v>
      </c>
      <c r="R37" s="4">
        <f>SUM(P37:Q37)</f>
        <v>835642.77</v>
      </c>
    </row>
    <row r="38" spans="1:18" ht="12.75">
      <c r="A38" s="8" t="s">
        <v>86</v>
      </c>
      <c r="B38" s="4">
        <f>H55</f>
        <v>169074.47999999998</v>
      </c>
      <c r="C38" s="16">
        <f>STREET!F14+STREET!F15+STREET!F16+STREET!F17+STREET!F18+STREET!F19+STREET!F20</f>
        <v>103046</v>
      </c>
      <c r="D38" s="4">
        <f>'ELECTRICAL DISTRIBUTION'!F13+'ELECTRICAL DISTRIBUTION'!F15+'ELECTRICAL DISTRIBUTION'!F16+'ELECTRICAL DISTRIBUTION'!F17+'ELECTRICAL DISTRIBUTION'!F18+'ELECTRICAL DISTRIBUTION'!F19+'ELECTRIC PLANT'!F14+'ELECTRIC PLANT'!F15+'ELECTRIC PLANT'!F16+'ELECTRIC PLANT'!F17+'ELECTRIC PLANT'!F18+'ELECTRIC PLANT'!F19+'ELECTRIC PLANT'!F20+'ELECTRIC PLANT'!F21+'ELECTRIC PLANT'!F13</f>
        <v>1055482.3</v>
      </c>
      <c r="E38" s="4">
        <f>'HOUSING AUTHORITY'!F12</f>
        <v>0</v>
      </c>
      <c r="F38" s="4">
        <f>KENO!F10</f>
        <v>23000</v>
      </c>
      <c r="G38" s="4">
        <f>'COMMUNITY DEVELOPMENT'!F11+'COMMUNITY DEVELOPMENT'!F12</f>
        <v>0</v>
      </c>
      <c r="H38" s="4">
        <f>'C&amp;D Site'!F12+'C&amp;D Site'!F13+'C&amp;D Site'!F14+'C&amp;D Site'!F15+'C&amp;D Site'!F16</f>
        <v>9483.5</v>
      </c>
      <c r="I38" s="4">
        <f>POOL!F13+POOL!F14+POOL!F15+POOL!F16+POOL!F17+POOL!F18+POOL!F19+POOL!F20</f>
        <v>20386.4</v>
      </c>
      <c r="J38" s="4">
        <f>LB840!F16+LB840!F14+LB840!F15+LB840!F17+LB840!F13</f>
        <v>26500</v>
      </c>
      <c r="K38" s="4">
        <f>WATER!F14+WATER!F15+WATER!F16+WATER!F17+WATER!F18+WATER!F19+WATER!F20+WATER!F21</f>
        <v>48249.8</v>
      </c>
      <c r="L38" s="4">
        <f>SEWER!F13+SEWER!F14+SEWER!F15+SEWER!F16+SEWER!F17+SEWER!F18+SEWER!F19+SEWER!F20</f>
        <v>47634.4</v>
      </c>
      <c r="M38" s="4">
        <f>+'OLD LIBRARY'!F11</f>
        <v>0</v>
      </c>
      <c r="N38" s="4">
        <f>SUM('SUMMER REC'!F14:F22)</f>
        <v>5000</v>
      </c>
      <c r="O38" s="4">
        <f>'SOLID WASTE-TRANSFER'!F13+'SOLID WASTE-TRANSFER'!F14+'SOLID WASTE-TRANSFER'!F15+'SOLID WASTE-TRANSFER'!F16+'SOLID WASTE-TRANSFER'!F17+'SOLID WASTE-TRANSFER'!F18+'SOLID WASTE-TRANSFER'!F19+'SOLID WASTE-TRANSFER'!F20</f>
        <v>279074</v>
      </c>
      <c r="P38" s="4">
        <f t="shared" si="0"/>
        <v>1786930.88</v>
      </c>
      <c r="Q38" s="4">
        <v>2381046</v>
      </c>
      <c r="R38" s="4">
        <f aca="true" t="shared" si="3" ref="R38:R45">SUM(P38:Q38)</f>
        <v>4167976.88</v>
      </c>
    </row>
    <row r="39" spans="1:18" ht="12.75">
      <c r="A39" s="4" t="s">
        <v>87</v>
      </c>
      <c r="B39" s="4">
        <f>H56</f>
        <v>32500</v>
      </c>
      <c r="C39" s="16">
        <f>STREET!F22</f>
        <v>0</v>
      </c>
      <c r="D39" s="4">
        <f>'ELECTRICAL DISTRIBUTION'!F21</f>
        <v>0</v>
      </c>
      <c r="H39" s="4">
        <v>0</v>
      </c>
      <c r="I39" s="4">
        <f>POOL!F22</f>
        <v>1000</v>
      </c>
      <c r="J39" s="4">
        <f>LB840!F18</f>
        <v>0</v>
      </c>
      <c r="K39" s="4">
        <f>WATER!F22</f>
        <v>20000</v>
      </c>
      <c r="O39" s="4">
        <v>0</v>
      </c>
      <c r="P39" s="4">
        <f t="shared" si="0"/>
        <v>53500</v>
      </c>
      <c r="Q39" s="4">
        <v>17500</v>
      </c>
      <c r="R39" s="4">
        <f t="shared" si="3"/>
        <v>71000</v>
      </c>
    </row>
    <row r="40" spans="1:18" ht="12.75">
      <c r="A40" s="4" t="s">
        <v>183</v>
      </c>
      <c r="B40" s="4">
        <f>H57</f>
        <v>3500</v>
      </c>
      <c r="C40" s="16">
        <f>STREET!F21</f>
        <v>12000</v>
      </c>
      <c r="D40" s="4">
        <f>'ELECTRICAL DISTRIBUTION'!F20</f>
        <v>0</v>
      </c>
      <c r="I40" s="4">
        <f>POOL!F21</f>
        <v>1500</v>
      </c>
      <c r="L40" s="4">
        <f>SEWER!F22</f>
        <v>0</v>
      </c>
      <c r="N40" s="4">
        <f>'SUMMER REC'!F23</f>
        <v>10000</v>
      </c>
      <c r="O40" s="4">
        <f>'SOLID WASTE-TRANSFER'!F37</f>
        <v>0</v>
      </c>
      <c r="P40" s="4">
        <f t="shared" si="0"/>
        <v>27000</v>
      </c>
      <c r="R40" s="4">
        <f t="shared" si="3"/>
        <v>27000</v>
      </c>
    </row>
    <row r="41" spans="1:18" ht="12.75">
      <c r="A41" s="8" t="s">
        <v>88</v>
      </c>
      <c r="C41" s="16"/>
      <c r="P41" s="4">
        <f t="shared" si="0"/>
        <v>0</v>
      </c>
      <c r="R41" s="4">
        <f t="shared" si="3"/>
        <v>0</v>
      </c>
    </row>
    <row r="42" spans="1:18" ht="12.75">
      <c r="A42" s="4" t="s">
        <v>89</v>
      </c>
      <c r="B42" s="4">
        <f>H59</f>
        <v>12500</v>
      </c>
      <c r="C42" s="16">
        <f>STREET!F23</f>
        <v>0</v>
      </c>
      <c r="D42" s="4">
        <f>'ELECTRIC PLANT'!F23+'ELECTRICAL DISTRIBUTION'!F22</f>
        <v>0</v>
      </c>
      <c r="H42" s="4">
        <f>'C&amp;D Site'!F18</f>
        <v>0</v>
      </c>
      <c r="I42" s="4">
        <f>POOL!F23</f>
        <v>40000</v>
      </c>
      <c r="K42" s="4">
        <f>WATER!F23</f>
        <v>25000</v>
      </c>
      <c r="L42" s="4">
        <f>SEWER!F23+SEWER!F25</f>
        <v>68500</v>
      </c>
      <c r="M42" s="4">
        <f>'OLD LIBRARY'!F12</f>
        <v>0</v>
      </c>
      <c r="O42" s="4">
        <f>'SOLID WASTE-TRANSFER'!F23</f>
        <v>32000</v>
      </c>
      <c r="P42" s="4">
        <f t="shared" si="0"/>
        <v>178000</v>
      </c>
      <c r="Q42" s="4">
        <v>78000</v>
      </c>
      <c r="R42" s="4">
        <f t="shared" si="3"/>
        <v>256000</v>
      </c>
    </row>
    <row r="43" spans="1:18" ht="12.75">
      <c r="A43" s="4" t="s">
        <v>90</v>
      </c>
      <c r="B43" s="4">
        <f>H60</f>
        <v>394</v>
      </c>
      <c r="C43" s="16">
        <f>STREET!F24</f>
        <v>0</v>
      </c>
      <c r="D43" s="4">
        <f>'ELECTRIC PLANT'!F24+'ELECTRICAL DISTRIBUTION'!F23</f>
        <v>0</v>
      </c>
      <c r="H43" s="4">
        <f>'C&amp;D Site'!F19</f>
        <v>0</v>
      </c>
      <c r="I43" s="4">
        <f>POOL!F24</f>
        <v>3746</v>
      </c>
      <c r="K43" s="4">
        <f>WATER!F24</f>
        <v>14000</v>
      </c>
      <c r="L43" s="4">
        <f>SEWER!F24</f>
        <v>21000</v>
      </c>
      <c r="M43" s="4">
        <f>+'OLD LIBRARY'!F13</f>
        <v>0</v>
      </c>
      <c r="O43" s="4">
        <f>'SOLID WASTE-TRANSFER'!F24</f>
        <v>2200</v>
      </c>
      <c r="P43" s="4">
        <f t="shared" si="0"/>
        <v>41340</v>
      </c>
      <c r="Q43" s="4">
        <v>0</v>
      </c>
      <c r="R43" s="4">
        <f t="shared" si="3"/>
        <v>41340</v>
      </c>
    </row>
    <row r="44" spans="1:18" ht="12.75">
      <c r="A44" s="4" t="s">
        <v>91</v>
      </c>
      <c r="B44" s="4">
        <f>H61</f>
        <v>101940</v>
      </c>
      <c r="C44" s="16"/>
      <c r="D44" s="4">
        <v>0</v>
      </c>
      <c r="P44" s="4">
        <v>0</v>
      </c>
      <c r="R44" s="4">
        <f t="shared" si="3"/>
        <v>0</v>
      </c>
    </row>
    <row r="45" spans="1:18" ht="12.75">
      <c r="A45" s="4" t="s">
        <v>92</v>
      </c>
      <c r="B45" s="201">
        <f>H62</f>
        <v>0</v>
      </c>
      <c r="C45" s="17" t="s">
        <v>7</v>
      </c>
      <c r="D45" s="14">
        <v>0</v>
      </c>
      <c r="E45" s="14">
        <v>0</v>
      </c>
      <c r="F45" s="14">
        <f>KENO!F11</f>
        <v>0</v>
      </c>
      <c r="G45" s="14">
        <v>0</v>
      </c>
      <c r="H45" s="14"/>
      <c r="I45" s="14">
        <v>0</v>
      </c>
      <c r="J45" s="14"/>
      <c r="K45" s="14">
        <v>0</v>
      </c>
      <c r="L45" s="14">
        <v>0</v>
      </c>
      <c r="M45" s="201">
        <v>0</v>
      </c>
      <c r="N45" s="14"/>
      <c r="O45" s="14">
        <v>0</v>
      </c>
      <c r="P45" s="177">
        <f t="shared" si="0"/>
        <v>0</v>
      </c>
      <c r="Q45" s="14">
        <v>0</v>
      </c>
      <c r="R45" s="200">
        <f t="shared" si="3"/>
        <v>0</v>
      </c>
    </row>
    <row r="46" spans="1:18" ht="12.75">
      <c r="A46" s="4" t="s">
        <v>93</v>
      </c>
      <c r="B46" s="15">
        <f aca="true" t="shared" si="4" ref="B46:G46">SUM(B37:B45)</f>
        <v>690559.19</v>
      </c>
      <c r="C46" s="15">
        <f t="shared" si="4"/>
        <v>164336.28</v>
      </c>
      <c r="D46" s="15">
        <f>SUM(D37:D45)</f>
        <v>1287432.83</v>
      </c>
      <c r="E46" s="15">
        <f t="shared" si="4"/>
        <v>0</v>
      </c>
      <c r="F46" s="15">
        <f t="shared" si="4"/>
        <v>23000</v>
      </c>
      <c r="G46" s="15">
        <f t="shared" si="4"/>
        <v>0</v>
      </c>
      <c r="H46" s="15">
        <f aca="true" t="shared" si="5" ref="H46:O46">SUM(H37:H45)</f>
        <v>19172.5</v>
      </c>
      <c r="I46" s="15">
        <f t="shared" si="5"/>
        <v>92552.4</v>
      </c>
      <c r="J46" s="15">
        <f t="shared" si="5"/>
        <v>27576.5</v>
      </c>
      <c r="K46" s="15">
        <f t="shared" si="5"/>
        <v>153174.55</v>
      </c>
      <c r="L46" s="15">
        <f t="shared" si="5"/>
        <v>183058.4</v>
      </c>
      <c r="M46" s="15">
        <f t="shared" si="5"/>
        <v>0</v>
      </c>
      <c r="N46" s="15">
        <f t="shared" si="5"/>
        <v>15000</v>
      </c>
      <c r="O46" s="15">
        <f t="shared" si="5"/>
        <v>368491</v>
      </c>
      <c r="P46" s="14">
        <f t="shared" si="0"/>
        <v>3024353.6499999994</v>
      </c>
      <c r="Q46" s="14">
        <f>SUM(Q37:Q45)</f>
        <v>2476546</v>
      </c>
      <c r="R46" s="14">
        <f>SUM(R37:R45)</f>
        <v>5398959.65</v>
      </c>
    </row>
    <row r="47" spans="2:16" ht="12.75">
      <c r="B47" s="15"/>
      <c r="C47" s="15"/>
      <c r="D47" s="15"/>
      <c r="F47" s="15"/>
      <c r="G47" s="15"/>
      <c r="H47" s="15"/>
      <c r="I47" s="15"/>
      <c r="J47" s="15"/>
      <c r="K47" s="15"/>
      <c r="P47" s="14">
        <f t="shared" si="0"/>
        <v>0</v>
      </c>
    </row>
    <row r="48" spans="1:18" ht="12.75">
      <c r="A48" s="4" t="s">
        <v>94</v>
      </c>
      <c r="B48" s="14">
        <f>B7+B34-B46</f>
        <v>146463.66000000003</v>
      </c>
      <c r="C48" s="14">
        <f>C7+C34-C46</f>
        <v>54663.72</v>
      </c>
      <c r="D48" s="14">
        <f>D7+D34-D46</f>
        <v>343892.25</v>
      </c>
      <c r="E48" s="14">
        <f>E7+E34-E46</f>
        <v>10073.72</v>
      </c>
      <c r="F48" s="14">
        <f>+F7+F34-F46</f>
        <v>41440.08</v>
      </c>
      <c r="G48" s="14">
        <f aca="true" t="shared" si="6" ref="G48:O48">G7+G34-G46</f>
        <v>19617.33</v>
      </c>
      <c r="H48" s="14">
        <f t="shared" si="6"/>
        <v>78499.92</v>
      </c>
      <c r="I48" s="14">
        <f t="shared" si="6"/>
        <v>37671.33</v>
      </c>
      <c r="J48" s="14">
        <f t="shared" si="6"/>
        <v>60273.34</v>
      </c>
      <c r="K48" s="14">
        <f t="shared" si="6"/>
        <v>122684.40000000002</v>
      </c>
      <c r="L48" s="14">
        <f t="shared" si="6"/>
        <v>100698.80000000002</v>
      </c>
      <c r="M48" s="14">
        <f t="shared" si="6"/>
        <v>0</v>
      </c>
      <c r="N48" s="14">
        <f>N7+N34-N46</f>
        <v>-10000</v>
      </c>
      <c r="O48" s="14">
        <f t="shared" si="6"/>
        <v>32109</v>
      </c>
      <c r="P48" s="14">
        <f t="shared" si="0"/>
        <v>1038087.5499999999</v>
      </c>
      <c r="Q48" s="14">
        <f>Q7+Q34-Q46</f>
        <v>860954</v>
      </c>
      <c r="R48" s="14">
        <f>R7+R34-R46</f>
        <v>2000981.5499999998</v>
      </c>
    </row>
    <row r="49" spans="1:15" ht="12.75">
      <c r="A49" s="4" t="s">
        <v>563</v>
      </c>
      <c r="B49" s="4">
        <f>GENERAL!F21-B48</f>
        <v>-146463.66000000003</v>
      </c>
      <c r="C49" s="4">
        <f>STREET!F27-C48</f>
        <v>-54663.72</v>
      </c>
      <c r="D49" s="4">
        <f>'ELECTRIC PLANT'!F29-D48</f>
        <v>-343892.25</v>
      </c>
      <c r="E49" s="4">
        <f>'HOUSING AUTHORITY'!F13</f>
        <v>0</v>
      </c>
      <c r="F49" s="4">
        <f>KENO!F14-F48</f>
        <v>-41440.08</v>
      </c>
      <c r="G49" s="4">
        <f>'COMMUNITY DEVELOPMENT'!F15-G48</f>
        <v>-19617.33</v>
      </c>
      <c r="H49" s="4">
        <f>'C&amp;D Site'!F22-H48</f>
        <v>-78499.92</v>
      </c>
      <c r="I49" s="4">
        <f>POOL!F27</f>
        <v>0</v>
      </c>
      <c r="J49" s="4">
        <f>LB840!F21</f>
        <v>0</v>
      </c>
      <c r="K49" s="4">
        <f>WATER!F27-K48</f>
        <v>-122684.40000000002</v>
      </c>
      <c r="L49" s="4">
        <f>SEWER!F28-L48</f>
        <v>-100698.80000000002</v>
      </c>
      <c r="M49" s="4">
        <f>'OLD LIBRARY'!F17-M48</f>
        <v>0</v>
      </c>
      <c r="N49" s="4">
        <f>'SUMMER REC'!F29-N48</f>
        <v>10000</v>
      </c>
      <c r="O49" s="4">
        <f>'SOLID WASTE-TRANSFER'!F28-O48</f>
        <v>-32109</v>
      </c>
    </row>
    <row r="51" ht="12.75">
      <c r="A51" s="8"/>
    </row>
    <row r="52" spans="1:10" ht="12.75">
      <c r="A52" s="8" t="s">
        <v>95</v>
      </c>
      <c r="B52" s="18" t="s">
        <v>180</v>
      </c>
      <c r="C52" s="11" t="s">
        <v>38</v>
      </c>
      <c r="D52" s="11" t="s">
        <v>181</v>
      </c>
      <c r="E52" s="11" t="s">
        <v>593</v>
      </c>
      <c r="F52" s="11" t="s">
        <v>108</v>
      </c>
      <c r="G52" s="11" t="s">
        <v>60</v>
      </c>
      <c r="H52" s="11" t="s">
        <v>59</v>
      </c>
      <c r="I52" s="11"/>
      <c r="J52" s="11"/>
    </row>
    <row r="53" spans="1:2" ht="12.75">
      <c r="A53" s="8" t="s">
        <v>179</v>
      </c>
      <c r="B53" s="19"/>
    </row>
    <row r="54" spans="1:8" ht="12.75">
      <c r="A54" s="8" t="s">
        <v>171</v>
      </c>
      <c r="B54" s="19">
        <f>ADMINISTRATION!F9+ADMINISTRATION!F10+ADMINISTRATION!F11+ADMINISTRATION!F12</f>
        <v>151823</v>
      </c>
      <c r="C54" s="4">
        <f>POLICE!F10+POLICE!F11+POLICE!F12+POLICE!F13</f>
        <v>163211.11</v>
      </c>
      <c r="E54" s="4">
        <f>HANDIBUS!F10+HANDIBUS!F11+HANDIBUS!F12+HANDIBUS!F13</f>
        <v>8918.03</v>
      </c>
      <c r="F54" s="4">
        <f>PARK!F10+PARK!F11</f>
        <v>5425.56</v>
      </c>
      <c r="G54" s="4">
        <f>LIBRARY!F10+LIBRARY!F11+LIBRARY!F12+LIBRARY!F13</f>
        <v>41273.01</v>
      </c>
      <c r="H54" s="4">
        <f>SUM(B54:G54)</f>
        <v>370650.71</v>
      </c>
    </row>
    <row r="55" spans="1:16" ht="13.5" thickBot="1">
      <c r="A55" s="8" t="s">
        <v>172</v>
      </c>
      <c r="B55" s="19">
        <f>ADMINISTRATION!F13+ADMINISTRATION!F14+ADMINISTRATION!F15+ADMINISTRATION!F16+ADMINISTRATION!F17+ADMINISTRATION!F18+ADMINISTRATION!F19+ADMINISTRATION!F20</f>
        <v>80903</v>
      </c>
      <c r="C55" s="4">
        <f>POLICE!F14+POLICE!F15+POLICE!F16+POLICE!F17+POLICE!F18+POLICE!F19</f>
        <v>33387.7</v>
      </c>
      <c r="D55" s="4">
        <f>GENERAL!F12</f>
        <v>18500</v>
      </c>
      <c r="E55" s="4">
        <f>HANDIBUS!F15+HANDIBUS!F17+HANDIBUS!F18+HANDIBUS!F21</f>
        <v>5928.4</v>
      </c>
      <c r="F55" s="4">
        <f>PARK!F12+PARK!F13+PARK!F14+PARK!F15+PARK!F16+PARK!F17</f>
        <v>8091.8</v>
      </c>
      <c r="G55" s="3">
        <f>LIBRARY!F14+LIBRARY!F15+LIBRARY!F16+LIBRARY!F17+LIBRARY!F18+LIBRARY!F19+LIBRARY!F20+LIBRARY!F22</f>
        <v>22263.58</v>
      </c>
      <c r="H55" s="4">
        <f>SUM(B55:G55)</f>
        <v>169074.47999999998</v>
      </c>
      <c r="I55" s="3"/>
      <c r="M55" s="39" t="s">
        <v>578</v>
      </c>
      <c r="P55" s="4"/>
    </row>
    <row r="56" spans="1:17" ht="12.75">
      <c r="A56" s="8" t="s">
        <v>173</v>
      </c>
      <c r="B56" s="19">
        <f>ADMINISTRATION!F21</f>
        <v>7500</v>
      </c>
      <c r="C56" s="4">
        <f>POLICE!F20</f>
        <v>10000</v>
      </c>
      <c r="F56" s="4">
        <f>PARK!F18</f>
        <v>15000</v>
      </c>
      <c r="H56" s="4">
        <f>SUM(B56:G56)</f>
        <v>32500</v>
      </c>
      <c r="M56" s="191"/>
      <c r="N56" s="192"/>
      <c r="O56" s="192" t="s">
        <v>569</v>
      </c>
      <c r="P56" s="192" t="s">
        <v>7</v>
      </c>
      <c r="Q56" s="193"/>
    </row>
    <row r="57" spans="1:17" ht="12.75">
      <c r="A57" s="8" t="s">
        <v>174</v>
      </c>
      <c r="B57" s="19">
        <f>ADMINISTRATION!F22</f>
        <v>2000</v>
      </c>
      <c r="C57" s="4" t="str">
        <f>POLICE!F21</f>
        <v> </v>
      </c>
      <c r="F57" s="4">
        <f>PARK!F19</f>
        <v>1500</v>
      </c>
      <c r="G57" s="4">
        <v>0</v>
      </c>
      <c r="H57" s="4">
        <f>SUM(B57:G57)</f>
        <v>3500</v>
      </c>
      <c r="M57" s="194" t="s">
        <v>570</v>
      </c>
      <c r="N57" s="20"/>
      <c r="O57" s="20">
        <v>859000</v>
      </c>
      <c r="P57" s="20" t="s">
        <v>7</v>
      </c>
      <c r="Q57" s="195">
        <f>+O57+P57</f>
        <v>859000</v>
      </c>
    </row>
    <row r="58" spans="1:17" ht="12.75">
      <c r="A58" s="8" t="s">
        <v>175</v>
      </c>
      <c r="B58" s="19"/>
      <c r="M58" s="194"/>
      <c r="N58" s="20"/>
      <c r="O58" s="20"/>
      <c r="P58" s="20"/>
      <c r="Q58" s="195"/>
    </row>
    <row r="59" spans="1:17" ht="12.75">
      <c r="A59" s="8" t="s">
        <v>178</v>
      </c>
      <c r="B59" s="19"/>
      <c r="C59" s="4">
        <f>POLICE!F22</f>
        <v>12500</v>
      </c>
      <c r="F59" s="4">
        <f>+PARK!F20</f>
        <v>0</v>
      </c>
      <c r="H59" s="4">
        <f>SUM(B59:G59)</f>
        <v>12500</v>
      </c>
      <c r="M59" s="194" t="s">
        <v>571</v>
      </c>
      <c r="N59" s="20"/>
      <c r="O59" s="20">
        <v>2436500</v>
      </c>
      <c r="P59" s="20" t="s">
        <v>7</v>
      </c>
      <c r="Q59" s="195">
        <f aca="true" t="shared" si="7" ref="Q59:Q68">+O59+P59</f>
        <v>2436500</v>
      </c>
    </row>
    <row r="60" spans="1:17" ht="12.75">
      <c r="A60" s="8" t="s">
        <v>177</v>
      </c>
      <c r="B60" s="19"/>
      <c r="C60" s="4">
        <f>POLICE!F23</f>
        <v>394</v>
      </c>
      <c r="F60" s="4">
        <f>+PARK!F21</f>
        <v>0</v>
      </c>
      <c r="H60" s="4">
        <f>SUM(B60:G60)</f>
        <v>394</v>
      </c>
      <c r="M60" s="194" t="s">
        <v>572</v>
      </c>
      <c r="N60" s="20"/>
      <c r="O60" s="20">
        <v>2600</v>
      </c>
      <c r="P60" s="20" t="s">
        <v>7</v>
      </c>
      <c r="Q60" s="195">
        <f t="shared" si="7"/>
        <v>2600</v>
      </c>
    </row>
    <row r="61" spans="1:17" ht="12.75">
      <c r="A61" s="4" t="s">
        <v>176</v>
      </c>
      <c r="B61" s="20">
        <v>0</v>
      </c>
      <c r="G61" s="4">
        <v>0</v>
      </c>
      <c r="H61" s="4">
        <v>101940</v>
      </c>
      <c r="I61" s="14" t="s">
        <v>679</v>
      </c>
      <c r="J61" s="14"/>
      <c r="M61" s="194" t="s">
        <v>573</v>
      </c>
      <c r="N61" s="20"/>
      <c r="O61" s="20">
        <v>39400</v>
      </c>
      <c r="P61" s="20" t="s">
        <v>7</v>
      </c>
      <c r="Q61" s="195">
        <f t="shared" si="7"/>
        <v>39400</v>
      </c>
    </row>
    <row r="62" spans="1:17" ht="12.75">
      <c r="A62" s="4" t="s">
        <v>475</v>
      </c>
      <c r="B62" s="20">
        <f>ADMINISTRATION!F24</f>
        <v>0</v>
      </c>
      <c r="H62" s="4">
        <f>SUM(B62:G62)</f>
        <v>0</v>
      </c>
      <c r="I62" s="14"/>
      <c r="J62" s="14"/>
      <c r="M62" s="194" t="s">
        <v>577</v>
      </c>
      <c r="N62" s="20"/>
      <c r="O62" s="20"/>
      <c r="P62" s="20" t="s">
        <v>7</v>
      </c>
      <c r="Q62" s="195">
        <f t="shared" si="7"/>
        <v>0</v>
      </c>
    </row>
    <row r="63" spans="1:17" ht="12.75">
      <c r="A63" s="4" t="s">
        <v>182</v>
      </c>
      <c r="B63" s="4">
        <f aca="true" t="shared" si="8" ref="B63:G63">SUM(B54:B62)</f>
        <v>242226</v>
      </c>
      <c r="C63" s="4">
        <f t="shared" si="8"/>
        <v>219492.81</v>
      </c>
      <c r="D63" s="4">
        <f t="shared" si="8"/>
        <v>18500</v>
      </c>
      <c r="E63" s="4">
        <f t="shared" si="8"/>
        <v>14846.43</v>
      </c>
      <c r="F63" s="4">
        <f t="shared" si="8"/>
        <v>30017.36</v>
      </c>
      <c r="G63" s="4">
        <f t="shared" si="8"/>
        <v>63536.590000000004</v>
      </c>
      <c r="H63" s="4">
        <f>SUM(H54:H62)</f>
        <v>690559.19</v>
      </c>
      <c r="M63" s="194" t="s">
        <v>574</v>
      </c>
      <c r="N63" s="20"/>
      <c r="O63" s="20">
        <v>-2381046</v>
      </c>
      <c r="P63" s="20" t="s">
        <v>7</v>
      </c>
      <c r="Q63" s="195">
        <f t="shared" si="7"/>
        <v>-2381046</v>
      </c>
    </row>
    <row r="64" spans="13:17" ht="12.75">
      <c r="M64" s="194" t="s">
        <v>575</v>
      </c>
      <c r="N64" s="20"/>
      <c r="O64" s="20">
        <v>-78000</v>
      </c>
      <c r="P64" s="20" t="s">
        <v>7</v>
      </c>
      <c r="Q64" s="195">
        <f t="shared" si="7"/>
        <v>-78000</v>
      </c>
    </row>
    <row r="65" spans="13:17" ht="12.75">
      <c r="M65" s="194" t="s">
        <v>572</v>
      </c>
      <c r="N65" s="20"/>
      <c r="O65" s="20">
        <v>0</v>
      </c>
      <c r="P65" s="20" t="s">
        <v>7</v>
      </c>
      <c r="Q65" s="195">
        <f t="shared" si="7"/>
        <v>0</v>
      </c>
    </row>
    <row r="66" spans="13:17" ht="12.75">
      <c r="M66" s="194" t="s">
        <v>579</v>
      </c>
      <c r="N66" s="20"/>
      <c r="O66" s="20">
        <v>-17500</v>
      </c>
      <c r="P66" s="20"/>
      <c r="Q66" s="195">
        <f t="shared" si="7"/>
        <v>-17500</v>
      </c>
    </row>
    <row r="67" spans="13:17" ht="12.75">
      <c r="M67" s="194" t="s">
        <v>576</v>
      </c>
      <c r="N67" s="20"/>
      <c r="O67" s="20"/>
      <c r="P67" s="20"/>
      <c r="Q67" s="195">
        <f t="shared" si="7"/>
        <v>0</v>
      </c>
    </row>
    <row r="68" spans="13:17" ht="12.75">
      <c r="M68" s="194"/>
      <c r="N68" s="20"/>
      <c r="O68" s="20"/>
      <c r="P68" s="20"/>
      <c r="Q68" s="195">
        <f t="shared" si="7"/>
        <v>0</v>
      </c>
    </row>
    <row r="69" spans="13:17" ht="12.75">
      <c r="M69" s="194"/>
      <c r="N69" s="20"/>
      <c r="O69" s="20">
        <f>SUM(O57:O68)</f>
        <v>860954</v>
      </c>
      <c r="P69" s="20">
        <f>SUM(P57:P68)</f>
        <v>0</v>
      </c>
      <c r="Q69" s="196">
        <f>SUM(Q57:Q68)</f>
        <v>860954</v>
      </c>
    </row>
    <row r="70" spans="13:17" ht="13.5" thickBot="1">
      <c r="M70" s="197"/>
      <c r="N70" s="198"/>
      <c r="O70" s="198"/>
      <c r="P70" s="198"/>
      <c r="Q70" s="199"/>
    </row>
    <row r="71" ht="12.75">
      <c r="P71" s="4"/>
    </row>
    <row r="72" ht="12.75">
      <c r="O72" s="4">
        <f>+O57-O69</f>
        <v>-1954</v>
      </c>
    </row>
  </sheetData>
  <sheetProtection/>
  <printOptions/>
  <pageMargins left="0.5" right="0.5" top="0.5" bottom="0.5" header="0.25" footer="0.25"/>
  <pageSetup fitToHeight="1" fitToWidth="1" horizontalDpi="300" verticalDpi="300" orientation="landscape" scale="57" r:id="rId1"/>
  <headerFooter alignWithMargins="0">
    <oddFooter>&amp;C&amp;"Courier,Bold"&amp;12Page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1"/>
  <sheetViews>
    <sheetView zoomScaleSheetLayoutView="100" zoomScalePageLayoutView="0" workbookViewId="0" topLeftCell="A1">
      <selection activeCell="E35" sqref="E35"/>
    </sheetView>
  </sheetViews>
  <sheetFormatPr defaultColWidth="8.00390625" defaultRowHeight="12.75"/>
  <cols>
    <col min="1" max="1" width="8.00390625" style="139" customWidth="1"/>
    <col min="2" max="2" width="12.75390625" style="139" customWidth="1"/>
    <col min="3" max="3" width="11.375" style="139" bestFit="1" customWidth="1"/>
    <col min="4" max="4" width="12.25390625" style="139" bestFit="1" customWidth="1"/>
    <col min="5" max="5" width="13.25390625" style="139" customWidth="1"/>
    <col min="6" max="6" width="12.00390625" style="139" bestFit="1" customWidth="1"/>
    <col min="7" max="7" width="7.75390625" style="139" customWidth="1"/>
    <col min="8" max="8" width="7.875" style="139" customWidth="1"/>
    <col min="9" max="9" width="9.625" style="139" bestFit="1" customWidth="1"/>
    <col min="10" max="10" width="4.875" style="139" customWidth="1"/>
    <col min="11" max="11" width="13.50390625" style="139" customWidth="1"/>
    <col min="12" max="12" width="9.125" style="139" bestFit="1" customWidth="1"/>
    <col min="13" max="13" width="8.25390625" style="139" bestFit="1" customWidth="1"/>
    <col min="14" max="16384" width="8.00390625" style="139" customWidth="1"/>
  </cols>
  <sheetData>
    <row r="1" spans="1:5" ht="12.75">
      <c r="A1" s="215" t="s">
        <v>506</v>
      </c>
      <c r="B1" s="215"/>
      <c r="C1" s="215"/>
      <c r="D1" s="215"/>
      <c r="E1" s="215"/>
    </row>
    <row r="2" spans="1:5" ht="12.75">
      <c r="A2" s="215"/>
      <c r="B2" s="215"/>
      <c r="C2" s="215"/>
      <c r="D2" s="215"/>
      <c r="E2" s="215"/>
    </row>
    <row r="3" spans="2:9" ht="12.75">
      <c r="B3" s="206" t="s">
        <v>662</v>
      </c>
      <c r="C3" s="140"/>
      <c r="D3" s="140"/>
      <c r="E3" s="140"/>
      <c r="F3" s="140"/>
      <c r="G3" s="140"/>
      <c r="H3" s="140"/>
      <c r="I3" s="140"/>
    </row>
    <row r="4" spans="2:9" ht="12.75">
      <c r="B4" s="140" t="s">
        <v>507</v>
      </c>
      <c r="C4" s="140"/>
      <c r="D4" s="140"/>
      <c r="E4" s="140"/>
      <c r="F4" s="140"/>
      <c r="G4" s="140"/>
      <c r="H4" s="140"/>
      <c r="I4" s="140"/>
    </row>
    <row r="5" spans="2:13" ht="12.75">
      <c r="B5" s="140"/>
      <c r="C5" s="140"/>
      <c r="D5" s="140"/>
      <c r="E5" s="141" t="s">
        <v>508</v>
      </c>
      <c r="F5" s="141"/>
      <c r="G5" s="140"/>
      <c r="H5" s="140"/>
      <c r="I5" s="140"/>
      <c r="M5" s="142"/>
    </row>
    <row r="6" spans="2:12" ht="12.75">
      <c r="B6" s="140"/>
      <c r="C6" s="140" t="s">
        <v>509</v>
      </c>
      <c r="D6" s="140"/>
      <c r="E6" s="141" t="s">
        <v>510</v>
      </c>
      <c r="F6" s="141"/>
      <c r="G6" s="143"/>
      <c r="H6" s="143"/>
      <c r="I6" s="140"/>
      <c r="K6" s="144"/>
      <c r="L6" s="144"/>
    </row>
    <row r="7" spans="2:9" ht="12.75">
      <c r="B7" s="140"/>
      <c r="C7" s="140"/>
      <c r="D7" s="140"/>
      <c r="E7" s="141" t="s">
        <v>511</v>
      </c>
      <c r="F7" s="141"/>
      <c r="G7" s="140"/>
      <c r="H7" s="140"/>
      <c r="I7" s="141"/>
    </row>
    <row r="8" spans="2:9" ht="12.75">
      <c r="B8" s="141" t="s">
        <v>512</v>
      </c>
      <c r="C8" s="145">
        <v>-9721</v>
      </c>
      <c r="D8" s="140" t="s">
        <v>513</v>
      </c>
      <c r="E8" s="141">
        <v>-9721</v>
      </c>
      <c r="F8" s="141" t="s">
        <v>514</v>
      </c>
      <c r="G8" s="140"/>
      <c r="H8" s="140"/>
      <c r="I8" s="140"/>
    </row>
    <row r="9" spans="2:9" ht="12.75" hidden="1">
      <c r="B9" s="141"/>
      <c r="C9" s="145"/>
      <c r="D9" s="140"/>
      <c r="E9" s="141">
        <f aca="true" t="shared" si="0" ref="E9:E16">-C9</f>
        <v>0</v>
      </c>
      <c r="F9" s="141"/>
      <c r="G9" s="140"/>
      <c r="H9" s="140"/>
      <c r="I9" s="140"/>
    </row>
    <row r="10" spans="2:9" ht="12.75" hidden="1">
      <c r="B10" s="141" t="s">
        <v>515</v>
      </c>
      <c r="C10" s="146"/>
      <c r="D10" s="139" t="s">
        <v>516</v>
      </c>
      <c r="E10" s="141">
        <f t="shared" si="0"/>
        <v>0</v>
      </c>
      <c r="F10" s="141" t="s">
        <v>517</v>
      </c>
      <c r="G10" s="140"/>
      <c r="H10" s="140"/>
      <c r="I10" s="140"/>
    </row>
    <row r="11" spans="2:9" ht="12.75">
      <c r="B11" s="141" t="s">
        <v>518</v>
      </c>
      <c r="C11" s="145">
        <v>8685</v>
      </c>
      <c r="D11" s="143" t="s">
        <v>559</v>
      </c>
      <c r="E11" s="141">
        <v>8685</v>
      </c>
      <c r="F11" s="141" t="s">
        <v>517</v>
      </c>
      <c r="G11" s="140"/>
      <c r="H11" s="140"/>
      <c r="I11" s="140"/>
    </row>
    <row r="12" spans="2:9" ht="12.75" hidden="1">
      <c r="B12" s="141" t="s">
        <v>6</v>
      </c>
      <c r="C12" s="146"/>
      <c r="D12" s="139" t="s">
        <v>519</v>
      </c>
      <c r="E12" s="141">
        <f t="shared" si="0"/>
        <v>0</v>
      </c>
      <c r="F12" s="141" t="s">
        <v>517</v>
      </c>
      <c r="G12" s="140"/>
      <c r="H12" s="140"/>
      <c r="I12" s="140"/>
    </row>
    <row r="13" spans="2:9" ht="12.75" hidden="1">
      <c r="B13" s="141" t="s">
        <v>379</v>
      </c>
      <c r="C13" s="146"/>
      <c r="D13" s="139" t="s">
        <v>520</v>
      </c>
      <c r="E13" s="141">
        <f t="shared" si="0"/>
        <v>0</v>
      </c>
      <c r="F13" s="141" t="s">
        <v>517</v>
      </c>
      <c r="G13" s="140"/>
      <c r="H13" s="140"/>
      <c r="I13" s="140"/>
    </row>
    <row r="14" spans="2:9" ht="12.75">
      <c r="B14" s="141" t="s">
        <v>521</v>
      </c>
      <c r="C14" s="145">
        <v>1036</v>
      </c>
      <c r="D14" s="139" t="s">
        <v>522</v>
      </c>
      <c r="E14" s="141">
        <v>1036</v>
      </c>
      <c r="F14" s="141" t="s">
        <v>517</v>
      </c>
      <c r="G14" s="140"/>
      <c r="H14" s="140"/>
      <c r="I14" s="140"/>
    </row>
    <row r="15" spans="2:9" ht="12.75" hidden="1">
      <c r="B15" s="141" t="s">
        <v>523</v>
      </c>
      <c r="C15" s="146"/>
      <c r="D15" s="139" t="s">
        <v>524</v>
      </c>
      <c r="E15" s="141">
        <f t="shared" si="0"/>
        <v>0</v>
      </c>
      <c r="F15" s="141" t="s">
        <v>517</v>
      </c>
      <c r="G15" s="140"/>
      <c r="H15" s="140"/>
      <c r="I15" s="140"/>
    </row>
    <row r="16" spans="2:9" ht="12.75" hidden="1">
      <c r="B16" s="141" t="s">
        <v>8</v>
      </c>
      <c r="C16" s="146"/>
      <c r="D16" s="139" t="s">
        <v>525</v>
      </c>
      <c r="E16" s="141">
        <f t="shared" si="0"/>
        <v>0</v>
      </c>
      <c r="F16" s="141" t="s">
        <v>517</v>
      </c>
      <c r="G16" s="140"/>
      <c r="H16" s="140"/>
      <c r="I16" s="140"/>
    </row>
    <row r="17" spans="2:9" ht="12.75">
      <c r="B17" s="141"/>
      <c r="E17" s="141"/>
      <c r="F17" s="141"/>
      <c r="G17" s="140"/>
      <c r="H17" s="140"/>
      <c r="I17" s="140"/>
    </row>
    <row r="18" spans="2:9" ht="12.75">
      <c r="B18" s="141"/>
      <c r="C18" s="139">
        <f>SUM(C8:C17)</f>
        <v>0</v>
      </c>
      <c r="E18" s="141"/>
      <c r="F18" s="141"/>
      <c r="G18" s="140"/>
      <c r="H18" s="140"/>
      <c r="I18" s="140"/>
    </row>
    <row r="19" spans="2:9" ht="12.75">
      <c r="B19" s="141"/>
      <c r="C19" s="140"/>
      <c r="D19" s="140">
        <f>SUM(D8:D13)</f>
        <v>0</v>
      </c>
      <c r="E19" s="141">
        <f>-C19</f>
        <v>0</v>
      </c>
      <c r="F19" s="141"/>
      <c r="G19" s="140"/>
      <c r="H19" s="140"/>
      <c r="I19" s="140"/>
    </row>
    <row r="20" spans="2:9" ht="12.75">
      <c r="B20" s="141" t="s">
        <v>526</v>
      </c>
      <c r="C20" s="140"/>
      <c r="D20" s="140"/>
      <c r="E20" s="141"/>
      <c r="F20" s="141"/>
      <c r="G20" s="140"/>
      <c r="H20" s="140"/>
      <c r="I20" s="140"/>
    </row>
    <row r="21" spans="2:9" ht="12.75">
      <c r="B21" s="141" t="s">
        <v>527</v>
      </c>
      <c r="C21" s="140"/>
      <c r="D21" s="140"/>
      <c r="E21" s="141"/>
      <c r="F21" s="141"/>
      <c r="G21" s="140"/>
      <c r="H21" s="140"/>
      <c r="I21" s="140"/>
    </row>
    <row r="22" spans="2:9" ht="12.75">
      <c r="B22" s="141"/>
      <c r="C22" s="140"/>
      <c r="D22" s="140"/>
      <c r="E22" s="141">
        <f aca="true" t="shared" si="1" ref="E22:E27">-C22</f>
        <v>0</v>
      </c>
      <c r="F22" s="141"/>
      <c r="G22" s="140"/>
      <c r="H22" s="140"/>
      <c r="I22" s="140"/>
    </row>
    <row r="23" spans="2:9" ht="12.75">
      <c r="B23" s="141" t="s">
        <v>528</v>
      </c>
      <c r="C23" s="145" t="s">
        <v>7</v>
      </c>
      <c r="D23" s="140" t="s">
        <v>529</v>
      </c>
      <c r="E23" s="141" t="e">
        <f t="shared" si="1"/>
        <v>#VALUE!</v>
      </c>
      <c r="F23" s="141" t="s">
        <v>517</v>
      </c>
      <c r="G23" s="140"/>
      <c r="H23" s="140"/>
      <c r="I23" s="140"/>
    </row>
    <row r="24" spans="2:9" ht="12.75">
      <c r="B24" s="141" t="s">
        <v>530</v>
      </c>
      <c r="C24" s="145" t="s">
        <v>7</v>
      </c>
      <c r="D24" s="140" t="s">
        <v>531</v>
      </c>
      <c r="E24" s="141" t="e">
        <f t="shared" si="1"/>
        <v>#VALUE!</v>
      </c>
      <c r="F24" s="141" t="s">
        <v>517</v>
      </c>
      <c r="G24" s="140"/>
      <c r="H24" s="140"/>
      <c r="I24" s="140"/>
    </row>
    <row r="25" spans="2:9" ht="12.75">
      <c r="B25" s="141" t="s">
        <v>617</v>
      </c>
      <c r="C25" s="145" t="s">
        <v>7</v>
      </c>
      <c r="D25" s="206" t="s">
        <v>533</v>
      </c>
      <c r="E25" s="141" t="e">
        <f t="shared" si="1"/>
        <v>#VALUE!</v>
      </c>
      <c r="F25" s="141" t="s">
        <v>532</v>
      </c>
      <c r="G25" s="140"/>
      <c r="H25" s="140"/>
      <c r="I25" s="140"/>
    </row>
    <row r="26" spans="2:9" ht="12.75">
      <c r="B26" s="141" t="s">
        <v>606</v>
      </c>
      <c r="C26" s="145" t="s">
        <v>7</v>
      </c>
      <c r="D26" s="140" t="s">
        <v>619</v>
      </c>
      <c r="E26" s="141" t="e">
        <f t="shared" si="1"/>
        <v>#VALUE!</v>
      </c>
      <c r="F26" s="141" t="s">
        <v>532</v>
      </c>
      <c r="G26" s="140"/>
      <c r="H26" s="140"/>
      <c r="I26" s="140"/>
    </row>
    <row r="27" spans="2:9" ht="12.75">
      <c r="B27" s="141" t="s">
        <v>534</v>
      </c>
      <c r="C27" s="145" t="s">
        <v>7</v>
      </c>
      <c r="D27" s="140" t="s">
        <v>535</v>
      </c>
      <c r="E27" s="141" t="e">
        <f t="shared" si="1"/>
        <v>#VALUE!</v>
      </c>
      <c r="F27" s="141" t="s">
        <v>532</v>
      </c>
      <c r="G27" s="140"/>
      <c r="H27" s="140"/>
      <c r="I27" s="140"/>
    </row>
    <row r="28" spans="2:9" ht="12.75">
      <c r="B28" s="140"/>
      <c r="C28" s="140" t="s">
        <v>7</v>
      </c>
      <c r="D28" s="140"/>
      <c r="E28" s="141"/>
      <c r="F28" s="141"/>
      <c r="G28" s="140"/>
      <c r="H28" s="140"/>
      <c r="I28" s="140"/>
    </row>
    <row r="29" spans="2:9" ht="12.75">
      <c r="B29" s="141" t="s">
        <v>536</v>
      </c>
      <c r="C29" s="140"/>
      <c r="D29" s="140"/>
      <c r="E29" s="140"/>
      <c r="F29" s="140"/>
      <c r="G29" s="140"/>
      <c r="H29" s="140"/>
      <c r="I29" s="140"/>
    </row>
    <row r="30" spans="2:9" ht="12.75">
      <c r="B30" s="140"/>
      <c r="C30" s="140"/>
      <c r="D30" s="140"/>
      <c r="E30" s="140"/>
      <c r="F30" s="140"/>
      <c r="G30" s="140"/>
      <c r="H30" s="140"/>
      <c r="I30" s="140"/>
    </row>
    <row r="31" spans="2:9" ht="12.75">
      <c r="B31" s="140" t="s">
        <v>537</v>
      </c>
      <c r="C31" s="140"/>
      <c r="D31" s="140"/>
      <c r="E31" s="140"/>
      <c r="F31" s="140"/>
      <c r="G31" s="140"/>
      <c r="H31" s="140"/>
      <c r="I31" s="140"/>
    </row>
    <row r="32" spans="1:8" ht="13.5" thickBot="1">
      <c r="A32" s="147"/>
      <c r="B32" s="147" t="s">
        <v>538</v>
      </c>
      <c r="C32" s="147"/>
      <c r="D32" s="147"/>
      <c r="E32" s="147"/>
      <c r="F32" s="147"/>
      <c r="G32" s="147"/>
      <c r="H32" s="147"/>
    </row>
    <row r="33" spans="1:18" ht="12.75">
      <c r="A33" s="148" t="s">
        <v>539</v>
      </c>
      <c r="B33" s="149"/>
      <c r="C33" s="149"/>
      <c r="D33" s="149"/>
      <c r="E33" s="149"/>
      <c r="F33" s="149"/>
      <c r="G33" s="149"/>
      <c r="H33" s="149"/>
      <c r="J33"/>
      <c r="K33"/>
      <c r="L33"/>
      <c r="M33"/>
      <c r="N33"/>
      <c r="O33"/>
      <c r="P33"/>
      <c r="Q33"/>
      <c r="R33"/>
    </row>
    <row r="34" spans="1:18" ht="12.75">
      <c r="A34" s="149"/>
      <c r="B34" s="149"/>
      <c r="C34" s="149"/>
      <c r="D34" s="149"/>
      <c r="E34" s="149"/>
      <c r="F34" s="149"/>
      <c r="G34" s="149"/>
      <c r="H34" s="149"/>
      <c r="J34"/>
      <c r="K34"/>
      <c r="L34"/>
      <c r="M34"/>
      <c r="N34"/>
      <c r="O34"/>
      <c r="P34"/>
      <c r="Q34"/>
      <c r="R34"/>
    </row>
    <row r="35" spans="1:18" ht="12.75">
      <c r="A35" s="149" t="s">
        <v>540</v>
      </c>
      <c r="B35" s="149"/>
      <c r="C35" s="149"/>
      <c r="D35" s="149"/>
      <c r="E35" s="157" t="s">
        <v>560</v>
      </c>
      <c r="F35" s="149"/>
      <c r="G35" s="151">
        <v>2985</v>
      </c>
      <c r="H35" s="149" t="s">
        <v>541</v>
      </c>
      <c r="J35"/>
      <c r="K35"/>
      <c r="L35"/>
      <c r="M35"/>
      <c r="N35"/>
      <c r="O35"/>
      <c r="P35"/>
      <c r="Q35"/>
      <c r="R35"/>
    </row>
    <row r="36" spans="1:18" ht="12.75">
      <c r="A36" s="149"/>
      <c r="B36" s="149" t="s">
        <v>542</v>
      </c>
      <c r="C36" s="149"/>
      <c r="D36" s="149"/>
      <c r="E36" s="149"/>
      <c r="F36" s="149"/>
      <c r="G36" s="151"/>
      <c r="H36" s="149"/>
      <c r="J36"/>
      <c r="K36"/>
      <c r="L36"/>
      <c r="M36"/>
      <c r="N36"/>
      <c r="O36"/>
      <c r="P36"/>
      <c r="Q36"/>
      <c r="R36"/>
    </row>
    <row r="37" spans="1:18" ht="12.75">
      <c r="A37" s="149"/>
      <c r="B37" s="149" t="s">
        <v>543</v>
      </c>
      <c r="C37" s="149"/>
      <c r="D37" s="149"/>
      <c r="E37" s="149"/>
      <c r="F37" s="149"/>
      <c r="G37" s="151"/>
      <c r="H37" s="149"/>
      <c r="J37"/>
      <c r="K37"/>
      <c r="L37" s="154"/>
      <c r="M37"/>
      <c r="N37"/>
      <c r="O37"/>
      <c r="P37"/>
      <c r="Q37"/>
      <c r="R37"/>
    </row>
    <row r="38" spans="1:18" ht="12.75">
      <c r="A38" s="149"/>
      <c r="B38" s="149" t="s">
        <v>544</v>
      </c>
      <c r="C38" s="149"/>
      <c r="D38" s="149"/>
      <c r="E38" s="149"/>
      <c r="F38" s="149"/>
      <c r="G38" s="151"/>
      <c r="H38" s="149"/>
      <c r="J38"/>
      <c r="K38" s="155"/>
      <c r="L38"/>
      <c r="M38" s="156"/>
      <c r="N38"/>
      <c r="O38"/>
      <c r="P38"/>
      <c r="Q38"/>
      <c r="R38"/>
    </row>
    <row r="39" spans="1:18" ht="12.75">
      <c r="A39" s="149"/>
      <c r="B39" s="149" t="s">
        <v>545</v>
      </c>
      <c r="C39" s="149"/>
      <c r="D39" s="149"/>
      <c r="E39" s="149"/>
      <c r="F39" s="149"/>
      <c r="G39" s="151"/>
      <c r="H39" s="149"/>
      <c r="J39"/>
      <c r="K39" s="155"/>
      <c r="L39"/>
      <c r="M39" s="156"/>
      <c r="N39"/>
      <c r="O39"/>
      <c r="P39"/>
      <c r="Q39"/>
      <c r="R39"/>
    </row>
    <row r="40" spans="1:18" ht="12.75">
      <c r="A40" s="149"/>
      <c r="B40" s="149" t="s">
        <v>546</v>
      </c>
      <c r="C40" s="149"/>
      <c r="D40" s="149"/>
      <c r="E40" s="149"/>
      <c r="F40" s="149"/>
      <c r="G40" s="151"/>
      <c r="H40" s="149"/>
      <c r="J40"/>
      <c r="K40" s="155"/>
      <c r="L40"/>
      <c r="M40" s="156"/>
      <c r="N40"/>
      <c r="O40" s="155"/>
      <c r="P40"/>
      <c r="Q40"/>
      <c r="R40"/>
    </row>
    <row r="41" spans="1:18" ht="12.75">
      <c r="A41" s="149"/>
      <c r="B41" s="149"/>
      <c r="C41" s="149"/>
      <c r="D41" s="149"/>
      <c r="E41" s="149"/>
      <c r="F41" s="149"/>
      <c r="G41" s="151"/>
      <c r="H41" s="149"/>
      <c r="J41"/>
      <c r="K41" s="155"/>
      <c r="L41"/>
      <c r="M41" s="156"/>
      <c r="N41"/>
      <c r="O41" s="155"/>
      <c r="P41"/>
      <c r="Q41"/>
      <c r="R41"/>
    </row>
    <row r="42" spans="1:18" ht="12.75">
      <c r="A42" s="149" t="s">
        <v>547</v>
      </c>
      <c r="B42" s="149"/>
      <c r="C42" s="149"/>
      <c r="D42" s="149"/>
      <c r="F42" s="151">
        <v>0</v>
      </c>
      <c r="G42" s="149" t="s">
        <v>541</v>
      </c>
      <c r="H42" s="149"/>
      <c r="J42"/>
      <c r="K42"/>
      <c r="L42"/>
      <c r="M42"/>
      <c r="N42"/>
      <c r="O42" s="155"/>
      <c r="P42"/>
      <c r="Q42"/>
      <c r="R42"/>
    </row>
    <row r="43" spans="1:18" ht="12.75">
      <c r="A43" s="149"/>
      <c r="B43" s="149" t="s">
        <v>548</v>
      </c>
      <c r="C43" s="149"/>
      <c r="D43" s="149"/>
      <c r="F43" s="151"/>
      <c r="G43" s="149"/>
      <c r="H43" s="149"/>
      <c r="J43"/>
      <c r="K43"/>
      <c r="L43"/>
      <c r="M43"/>
      <c r="N43"/>
      <c r="O43" s="155"/>
      <c r="P43"/>
      <c r="Q43"/>
      <c r="R43"/>
    </row>
    <row r="44" spans="1:18" ht="12.75">
      <c r="A44" s="149"/>
      <c r="B44" s="149" t="s">
        <v>549</v>
      </c>
      <c r="C44" s="149"/>
      <c r="D44" s="149"/>
      <c r="F44" s="151"/>
      <c r="G44" s="149"/>
      <c r="H44" s="149"/>
      <c r="J44"/>
      <c r="K44"/>
      <c r="L44"/>
      <c r="M44"/>
      <c r="N44"/>
      <c r="O44"/>
      <c r="P44"/>
      <c r="Q44"/>
      <c r="R44"/>
    </row>
    <row r="45" spans="1:18" ht="12.75">
      <c r="A45" s="149"/>
      <c r="B45" s="149" t="s">
        <v>550</v>
      </c>
      <c r="C45" s="149"/>
      <c r="D45" s="149"/>
      <c r="E45" s="149"/>
      <c r="F45" s="149"/>
      <c r="G45" s="149"/>
      <c r="H45" s="149"/>
      <c r="J45"/>
      <c r="K45"/>
      <c r="L45"/>
      <c r="M45"/>
      <c r="N45"/>
      <c r="O45"/>
      <c r="P45"/>
      <c r="Q45"/>
      <c r="R45"/>
    </row>
    <row r="46" spans="1:18" ht="12.75">
      <c r="A46" s="149"/>
      <c r="B46" s="149" t="s">
        <v>551</v>
      </c>
      <c r="C46" s="149"/>
      <c r="D46" s="149"/>
      <c r="E46" s="149"/>
      <c r="F46" s="149"/>
      <c r="G46" s="149"/>
      <c r="H46" s="149"/>
      <c r="J46"/>
      <c r="K46"/>
      <c r="L46"/>
      <c r="M46"/>
      <c r="N46"/>
      <c r="O46"/>
      <c r="P46"/>
      <c r="Q46"/>
      <c r="R46"/>
    </row>
    <row r="47" spans="1:18" ht="12.75">
      <c r="A47" s="149"/>
      <c r="B47" s="150" t="s">
        <v>552</v>
      </c>
      <c r="C47" s="149"/>
      <c r="D47" s="149"/>
      <c r="E47" s="149"/>
      <c r="F47" s="149"/>
      <c r="G47" s="149"/>
      <c r="H47" s="149"/>
      <c r="J47"/>
      <c r="K47"/>
      <c r="L47"/>
      <c r="M47"/>
      <c r="N47"/>
      <c r="O47"/>
      <c r="P47"/>
      <c r="Q47"/>
      <c r="R47"/>
    </row>
    <row r="48" spans="1:18" ht="12.75">
      <c r="A48" s="149"/>
      <c r="B48" s="150" t="s">
        <v>553</v>
      </c>
      <c r="C48" s="149"/>
      <c r="D48" s="149"/>
      <c r="E48" s="149"/>
      <c r="F48" s="149"/>
      <c r="G48" s="149"/>
      <c r="H48" s="149"/>
      <c r="J48"/>
      <c r="K48"/>
      <c r="L48"/>
      <c r="M48"/>
      <c r="N48"/>
      <c r="O48"/>
      <c r="P48"/>
      <c r="Q48"/>
      <c r="R48"/>
    </row>
    <row r="49" spans="1:18" ht="12.75">
      <c r="A49" s="149"/>
      <c r="B49" s="150"/>
      <c r="C49" s="149"/>
      <c r="D49" s="149"/>
      <c r="E49" s="149"/>
      <c r="F49" s="149"/>
      <c r="G49" s="149"/>
      <c r="H49" s="149"/>
      <c r="J49"/>
      <c r="K49"/>
      <c r="L49"/>
      <c r="M49"/>
      <c r="N49"/>
      <c r="O49"/>
      <c r="P49"/>
      <c r="Q49"/>
      <c r="R49"/>
    </row>
    <row r="50" spans="1:18" ht="12.75">
      <c r="A50" s="149" t="s">
        <v>554</v>
      </c>
      <c r="B50" s="149"/>
      <c r="C50" s="149"/>
      <c r="D50" s="149"/>
      <c r="E50" s="152"/>
      <c r="F50" s="153">
        <v>1743.87</v>
      </c>
      <c r="G50" s="149" t="s">
        <v>555</v>
      </c>
      <c r="H50" s="149"/>
      <c r="J50"/>
      <c r="K50"/>
      <c r="L50"/>
      <c r="M50"/>
      <c r="N50"/>
      <c r="O50"/>
      <c r="P50"/>
      <c r="Q50"/>
      <c r="R50"/>
    </row>
    <row r="51" spans="2:18" ht="12.75">
      <c r="B51" s="139" t="s">
        <v>556</v>
      </c>
      <c r="G51" s="144" t="s">
        <v>648</v>
      </c>
      <c r="J51"/>
      <c r="K51"/>
      <c r="L51"/>
      <c r="M51"/>
      <c r="N51"/>
      <c r="O51"/>
      <c r="P51"/>
      <c r="Q51"/>
      <c r="R51"/>
    </row>
    <row r="52" spans="1:8" ht="12.75">
      <c r="A52" s="149"/>
      <c r="B52" s="149" t="s">
        <v>557</v>
      </c>
      <c r="C52" s="149"/>
      <c r="D52" s="149"/>
      <c r="E52" s="149"/>
      <c r="F52" s="149"/>
      <c r="G52" s="149"/>
      <c r="H52" s="149"/>
    </row>
    <row r="53" spans="1:8" ht="12.75">
      <c r="A53" s="149"/>
      <c r="B53" s="149" t="s">
        <v>558</v>
      </c>
      <c r="C53" s="149"/>
      <c r="D53" s="149"/>
      <c r="E53" s="149"/>
      <c r="F53" s="149"/>
      <c r="G53" s="149"/>
      <c r="H53" s="149"/>
    </row>
    <row r="54" spans="1:8" ht="12.75">
      <c r="A54" s="149"/>
      <c r="B54" s="149"/>
      <c r="C54" s="149"/>
      <c r="D54" s="149"/>
      <c r="E54" s="149"/>
      <c r="F54" s="149"/>
      <c r="G54" s="149"/>
      <c r="H54" s="149"/>
    </row>
    <row r="55" spans="1:8" ht="12.75">
      <c r="A55" s="149"/>
      <c r="B55" s="149"/>
      <c r="C55" s="149"/>
      <c r="D55" s="149"/>
      <c r="E55" s="149"/>
      <c r="F55" s="149"/>
      <c r="G55" s="149"/>
      <c r="H55" s="149"/>
    </row>
    <row r="56" spans="1:8" ht="12.75">
      <c r="A56" s="149"/>
      <c r="B56" s="149"/>
      <c r="C56" s="149"/>
      <c r="D56" s="149"/>
      <c r="E56" s="149"/>
      <c r="F56" s="149"/>
      <c r="G56" s="149"/>
      <c r="H56" s="149"/>
    </row>
    <row r="57" spans="1:8" ht="12.75">
      <c r="A57" s="149"/>
      <c r="B57" s="149"/>
      <c r="C57" s="149"/>
      <c r="D57" s="149"/>
      <c r="E57" s="149"/>
      <c r="F57" s="149"/>
      <c r="G57" s="149"/>
      <c r="H57" s="149"/>
    </row>
    <row r="58" spans="1:8" ht="12.75">
      <c r="A58" s="149"/>
      <c r="B58" s="149"/>
      <c r="C58" s="149"/>
      <c r="D58" s="149"/>
      <c r="E58" s="151"/>
      <c r="F58" s="149"/>
      <c r="G58" s="149"/>
      <c r="H58" s="149"/>
    </row>
    <row r="59" spans="1:8" ht="12.75">
      <c r="A59" s="149"/>
      <c r="B59" s="149"/>
      <c r="C59" s="149"/>
      <c r="D59" s="149"/>
      <c r="E59" s="151"/>
      <c r="F59" s="149"/>
      <c r="G59" s="149"/>
      <c r="H59" s="149"/>
    </row>
    <row r="60" spans="1:8" ht="12.75">
      <c r="A60" s="149"/>
      <c r="B60" s="149"/>
      <c r="C60" s="149"/>
      <c r="D60" s="149"/>
      <c r="E60" s="149"/>
      <c r="F60" s="149"/>
      <c r="G60" s="149"/>
      <c r="H60" s="149"/>
    </row>
    <row r="61" spans="1:8" ht="12.75">
      <c r="A61" s="149"/>
      <c r="B61" s="149"/>
      <c r="C61" s="149"/>
      <c r="D61" s="149"/>
      <c r="E61" s="149"/>
      <c r="F61" s="149"/>
      <c r="G61" s="149"/>
      <c r="H61" s="149"/>
    </row>
    <row r="62" spans="1:8" ht="12.75">
      <c r="A62" s="149"/>
      <c r="B62" s="149"/>
      <c r="C62" s="149"/>
      <c r="D62" s="149"/>
      <c r="E62" s="151"/>
      <c r="F62" s="149"/>
      <c r="G62" s="149"/>
      <c r="H62" s="149"/>
    </row>
    <row r="63" spans="1:8" ht="12.75">
      <c r="A63" s="149"/>
      <c r="B63" s="149"/>
      <c r="C63" s="149"/>
      <c r="D63" s="149"/>
      <c r="E63" s="151"/>
      <c r="F63" s="149"/>
      <c r="G63" s="149"/>
      <c r="H63" s="149"/>
    </row>
    <row r="64" spans="1:8" ht="12.75">
      <c r="A64" s="149"/>
      <c r="B64" s="149"/>
      <c r="C64" s="149"/>
      <c r="D64" s="149"/>
      <c r="E64" s="151"/>
      <c r="F64" s="149"/>
      <c r="G64" s="149"/>
      <c r="H64" s="149"/>
    </row>
    <row r="65" spans="1:8" ht="12.75">
      <c r="A65" s="149"/>
      <c r="B65" s="149"/>
      <c r="C65" s="149"/>
      <c r="D65" s="149"/>
      <c r="E65" s="151"/>
      <c r="F65" s="149"/>
      <c r="G65" s="149"/>
      <c r="H65" s="149"/>
    </row>
    <row r="66" spans="1:7" ht="12.75">
      <c r="A66" s="140"/>
      <c r="B66" s="140"/>
      <c r="C66" s="140"/>
      <c r="D66" s="140"/>
      <c r="E66" s="140"/>
      <c r="F66" s="140"/>
      <c r="G66" s="140"/>
    </row>
    <row r="67" spans="1:7" ht="12.75">
      <c r="A67" s="140"/>
      <c r="B67" s="140"/>
      <c r="C67" s="140"/>
      <c r="D67" s="140"/>
      <c r="E67" s="140"/>
      <c r="F67" s="140"/>
      <c r="G67" s="140"/>
    </row>
    <row r="68" spans="1:7" ht="12.75">
      <c r="A68" s="140"/>
      <c r="B68" s="140"/>
      <c r="C68" s="140"/>
      <c r="D68" s="140"/>
      <c r="E68" s="140"/>
      <c r="F68" s="140"/>
      <c r="G68" s="140"/>
    </row>
    <row r="69" spans="1:7" ht="12.75">
      <c r="A69" s="140"/>
      <c r="B69" s="140"/>
      <c r="C69" s="140"/>
      <c r="D69" s="140"/>
      <c r="E69" s="140"/>
      <c r="F69" s="140"/>
      <c r="G69" s="140"/>
    </row>
    <row r="70" spans="1:7" ht="12.75">
      <c r="A70" s="140"/>
      <c r="B70" s="140"/>
      <c r="C70" s="140"/>
      <c r="D70" s="140"/>
      <c r="E70" s="140"/>
      <c r="F70" s="140"/>
      <c r="G70" s="140"/>
    </row>
    <row r="71" spans="1:7" ht="12.75">
      <c r="A71" s="140"/>
      <c r="B71" s="140"/>
      <c r="C71" s="140"/>
      <c r="D71" s="140"/>
      <c r="E71" s="140"/>
      <c r="F71" s="140"/>
      <c r="G71" s="140"/>
    </row>
    <row r="72" spans="1:7" ht="12.75">
      <c r="A72" s="140"/>
      <c r="B72" s="140"/>
      <c r="C72" s="140"/>
      <c r="D72" s="140"/>
      <c r="E72" s="140"/>
      <c r="F72" s="140"/>
      <c r="G72" s="140"/>
    </row>
    <row r="73" spans="1:7" ht="12.75">
      <c r="A73" s="140"/>
      <c r="B73" s="140"/>
      <c r="C73" s="140"/>
      <c r="D73" s="140"/>
      <c r="E73" s="140"/>
      <c r="F73" s="140"/>
      <c r="G73" s="140"/>
    </row>
    <row r="74" spans="1:7" ht="12.75">
      <c r="A74" s="140"/>
      <c r="B74" s="140"/>
      <c r="C74" s="140"/>
      <c r="D74" s="140"/>
      <c r="E74" s="140"/>
      <c r="F74" s="140"/>
      <c r="G74" s="140"/>
    </row>
    <row r="75" spans="1:7" ht="12.75">
      <c r="A75" s="140"/>
      <c r="B75" s="140"/>
      <c r="C75" s="140"/>
      <c r="D75" s="140"/>
      <c r="E75" s="140"/>
      <c r="F75" s="140"/>
      <c r="G75" s="140"/>
    </row>
    <row r="76" spans="1:7" ht="12.75">
      <c r="A76" s="140"/>
      <c r="B76" s="140"/>
      <c r="C76" s="140"/>
      <c r="D76" s="140"/>
      <c r="E76" s="140"/>
      <c r="F76" s="140"/>
      <c r="G76" s="140"/>
    </row>
    <row r="77" spans="1:7" ht="12.75">
      <c r="A77" s="140"/>
      <c r="B77" s="140"/>
      <c r="C77" s="140"/>
      <c r="D77" s="140"/>
      <c r="E77" s="140"/>
      <c r="F77" s="140"/>
      <c r="G77" s="140"/>
    </row>
    <row r="78" spans="1:7" ht="12.75">
      <c r="A78" s="140"/>
      <c r="B78" s="140"/>
      <c r="C78" s="140"/>
      <c r="D78" s="140"/>
      <c r="E78" s="140"/>
      <c r="F78" s="140"/>
      <c r="G78" s="140"/>
    </row>
    <row r="79" spans="1:7" ht="12.75">
      <c r="A79" s="140"/>
      <c r="B79" s="140"/>
      <c r="C79" s="140"/>
      <c r="D79" s="140"/>
      <c r="E79" s="140"/>
      <c r="F79" s="140"/>
      <c r="G79" s="140"/>
    </row>
    <row r="80" spans="1:7" ht="12.75">
      <c r="A80" s="140"/>
      <c r="B80" s="140"/>
      <c r="C80" s="140"/>
      <c r="D80" s="140"/>
      <c r="E80" s="140"/>
      <c r="F80" s="140"/>
      <c r="G80" s="140"/>
    </row>
    <row r="81" spans="1:7" ht="12.75">
      <c r="A81" s="140"/>
      <c r="B81" s="140"/>
      <c r="C81" s="140"/>
      <c r="D81" s="140"/>
      <c r="E81" s="140"/>
      <c r="F81" s="140"/>
      <c r="G81" s="140"/>
    </row>
    <row r="82" spans="1:7" ht="12.75">
      <c r="A82" s="140"/>
      <c r="B82" s="140"/>
      <c r="C82" s="140"/>
      <c r="D82" s="140"/>
      <c r="E82" s="140"/>
      <c r="F82" s="140"/>
      <c r="G82" s="140"/>
    </row>
    <row r="83" spans="1:7" ht="12.75">
      <c r="A83" s="140"/>
      <c r="B83" s="140"/>
      <c r="C83" s="140"/>
      <c r="D83" s="140"/>
      <c r="E83" s="140"/>
      <c r="F83" s="140"/>
      <c r="G83" s="140"/>
    </row>
    <row r="84" spans="1:7" ht="12.75">
      <c r="A84" s="140"/>
      <c r="B84" s="140"/>
      <c r="C84" s="140"/>
      <c r="D84" s="140"/>
      <c r="E84" s="140"/>
      <c r="F84" s="140"/>
      <c r="G84" s="140"/>
    </row>
    <row r="85" spans="1:7" ht="12.75">
      <c r="A85" s="140"/>
      <c r="B85" s="140"/>
      <c r="C85" s="140"/>
      <c r="D85" s="140"/>
      <c r="E85" s="140"/>
      <c r="F85" s="140"/>
      <c r="G85" s="140"/>
    </row>
    <row r="86" spans="1:7" ht="12.75">
      <c r="A86" s="140"/>
      <c r="B86" s="140"/>
      <c r="C86" s="140"/>
      <c r="D86" s="140"/>
      <c r="E86" s="140"/>
      <c r="F86" s="140"/>
      <c r="G86" s="140"/>
    </row>
    <row r="87" spans="1:7" ht="12.75">
      <c r="A87" s="140"/>
      <c r="B87" s="140"/>
      <c r="C87" s="140"/>
      <c r="D87" s="140"/>
      <c r="E87" s="140"/>
      <c r="F87" s="140"/>
      <c r="G87" s="140"/>
    </row>
    <row r="88" spans="1:7" ht="12.75">
      <c r="A88" s="140"/>
      <c r="B88" s="140"/>
      <c r="C88" s="140"/>
      <c r="D88" s="140"/>
      <c r="E88" s="140"/>
      <c r="F88" s="140"/>
      <c r="G88" s="140"/>
    </row>
    <row r="89" spans="1:7" ht="12.75">
      <c r="A89" s="140"/>
      <c r="B89" s="140"/>
      <c r="C89" s="140"/>
      <c r="D89" s="140"/>
      <c r="E89" s="140"/>
      <c r="F89" s="140"/>
      <c r="G89" s="140"/>
    </row>
    <row r="90" spans="1:7" ht="12.75">
      <c r="A90" s="140"/>
      <c r="B90" s="140"/>
      <c r="C90" s="140"/>
      <c r="D90" s="140"/>
      <c r="E90" s="140"/>
      <c r="F90" s="140"/>
      <c r="G90" s="140"/>
    </row>
    <row r="91" spans="1:7" ht="12.75">
      <c r="A91" s="140"/>
      <c r="B91" s="140"/>
      <c r="C91" s="140"/>
      <c r="D91" s="140"/>
      <c r="E91" s="140"/>
      <c r="F91" s="140"/>
      <c r="G91" s="140"/>
    </row>
    <row r="92" spans="1:7" ht="12.75">
      <c r="A92" s="140"/>
      <c r="B92" s="140"/>
      <c r="C92" s="140"/>
      <c r="D92" s="140"/>
      <c r="E92" s="140"/>
      <c r="F92" s="140"/>
      <c r="G92" s="140"/>
    </row>
    <row r="93" spans="1:7" ht="12.75">
      <c r="A93" s="140"/>
      <c r="B93" s="140"/>
      <c r="C93" s="140"/>
      <c r="D93" s="140"/>
      <c r="E93" s="140"/>
      <c r="F93" s="140"/>
      <c r="G93" s="140"/>
    </row>
    <row r="94" spans="1:7" ht="12.75">
      <c r="A94" s="140"/>
      <c r="B94" s="140"/>
      <c r="C94" s="140"/>
      <c r="D94" s="140"/>
      <c r="E94" s="140"/>
      <c r="F94" s="140"/>
      <c r="G94" s="140"/>
    </row>
    <row r="95" spans="1:7" ht="12.75">
      <c r="A95" s="140"/>
      <c r="B95" s="140"/>
      <c r="C95" s="140"/>
      <c r="D95" s="140"/>
      <c r="E95" s="140"/>
      <c r="F95" s="140"/>
      <c r="G95" s="140"/>
    </row>
    <row r="96" spans="1:7" ht="12.75">
      <c r="A96" s="140"/>
      <c r="B96" s="140"/>
      <c r="C96" s="140"/>
      <c r="D96" s="140"/>
      <c r="E96" s="140"/>
      <c r="F96" s="140"/>
      <c r="G96" s="140"/>
    </row>
    <row r="97" spans="1:7" ht="12.75">
      <c r="A97" s="140"/>
      <c r="B97" s="140"/>
      <c r="C97" s="140"/>
      <c r="D97" s="140"/>
      <c r="E97" s="140"/>
      <c r="F97" s="140"/>
      <c r="G97" s="140"/>
    </row>
    <row r="98" spans="1:7" ht="12.75">
      <c r="A98" s="140"/>
      <c r="B98" s="140"/>
      <c r="C98" s="140"/>
      <c r="D98" s="140"/>
      <c r="E98" s="140"/>
      <c r="F98" s="140"/>
      <c r="G98" s="140"/>
    </row>
    <row r="99" spans="1:7" ht="12.75">
      <c r="A99" s="140"/>
      <c r="B99" s="140"/>
      <c r="C99" s="140"/>
      <c r="D99" s="140"/>
      <c r="E99" s="140"/>
      <c r="F99" s="140"/>
      <c r="G99" s="140"/>
    </row>
    <row r="100" spans="1:7" ht="12.75">
      <c r="A100" s="140"/>
      <c r="B100" s="140"/>
      <c r="C100" s="140"/>
      <c r="D100" s="140"/>
      <c r="E100" s="140"/>
      <c r="F100" s="140"/>
      <c r="G100" s="140"/>
    </row>
    <row r="101" spans="1:7" ht="12.75">
      <c r="A101" s="140"/>
      <c r="B101" s="140"/>
      <c r="C101" s="140"/>
      <c r="D101" s="140"/>
      <c r="E101" s="140"/>
      <c r="F101" s="140"/>
      <c r="G101" s="140"/>
    </row>
    <row r="102" spans="1:7" ht="12.75">
      <c r="A102" s="140"/>
      <c r="B102" s="140"/>
      <c r="C102" s="140"/>
      <c r="D102" s="140"/>
      <c r="E102" s="140"/>
      <c r="F102" s="140"/>
      <c r="G102" s="140"/>
    </row>
    <row r="103" spans="1:7" ht="12.75">
      <c r="A103" s="140"/>
      <c r="B103" s="140"/>
      <c r="C103" s="140"/>
      <c r="D103" s="140"/>
      <c r="E103" s="140"/>
      <c r="F103" s="140"/>
      <c r="G103" s="140"/>
    </row>
    <row r="104" spans="1:7" ht="12.75">
      <c r="A104" s="140"/>
      <c r="B104" s="140"/>
      <c r="C104" s="140"/>
      <c r="D104" s="140"/>
      <c r="E104" s="140"/>
      <c r="F104" s="140"/>
      <c r="G104" s="140"/>
    </row>
    <row r="105" spans="1:7" ht="12.75">
      <c r="A105" s="140"/>
      <c r="B105" s="140"/>
      <c r="C105" s="140"/>
      <c r="D105" s="140"/>
      <c r="E105" s="140"/>
      <c r="F105" s="140"/>
      <c r="G105" s="140"/>
    </row>
    <row r="106" spans="1:7" ht="12.75">
      <c r="A106" s="140"/>
      <c r="B106" s="140"/>
      <c r="C106" s="140"/>
      <c r="D106" s="140"/>
      <c r="E106" s="140"/>
      <c r="F106" s="140"/>
      <c r="G106" s="140"/>
    </row>
    <row r="107" spans="1:7" ht="12.75">
      <c r="A107" s="140"/>
      <c r="B107" s="140"/>
      <c r="C107" s="140"/>
      <c r="D107" s="140"/>
      <c r="E107" s="140"/>
      <c r="F107" s="140"/>
      <c r="G107" s="140"/>
    </row>
    <row r="108" spans="1:7" ht="12.75">
      <c r="A108" s="140"/>
      <c r="B108" s="140"/>
      <c r="C108" s="140"/>
      <c r="D108" s="140"/>
      <c r="E108" s="140"/>
      <c r="F108" s="140"/>
      <c r="G108" s="140"/>
    </row>
    <row r="109" spans="1:7" ht="12.75">
      <c r="A109" s="140"/>
      <c r="B109" s="140"/>
      <c r="C109" s="140"/>
      <c r="D109" s="140"/>
      <c r="E109" s="140"/>
      <c r="F109" s="140"/>
      <c r="G109" s="140"/>
    </row>
    <row r="110" spans="1:7" ht="12.75">
      <c r="A110" s="140"/>
      <c r="B110" s="140"/>
      <c r="C110" s="140"/>
      <c r="D110" s="140"/>
      <c r="E110" s="140"/>
      <c r="F110" s="140"/>
      <c r="G110" s="140"/>
    </row>
    <row r="111" spans="1:7" ht="12.75">
      <c r="A111" s="140"/>
      <c r="B111" s="140"/>
      <c r="C111" s="140"/>
      <c r="D111" s="140"/>
      <c r="E111" s="140"/>
      <c r="F111" s="140"/>
      <c r="G111" s="140"/>
    </row>
    <row r="112" spans="1:7" ht="12.75">
      <c r="A112" s="140"/>
      <c r="B112" s="140"/>
      <c r="C112" s="140"/>
      <c r="D112" s="140"/>
      <c r="E112" s="140"/>
      <c r="F112" s="140"/>
      <c r="G112" s="140"/>
    </row>
    <row r="113" spans="1:7" ht="12.75">
      <c r="A113" s="140"/>
      <c r="B113" s="140"/>
      <c r="C113" s="140"/>
      <c r="D113" s="140"/>
      <c r="E113" s="140"/>
      <c r="F113" s="140"/>
      <c r="G113" s="140"/>
    </row>
    <row r="114" spans="1:7" ht="12.75">
      <c r="A114" s="140"/>
      <c r="B114" s="140"/>
      <c r="C114" s="140"/>
      <c r="D114" s="140"/>
      <c r="E114" s="140"/>
      <c r="F114" s="140"/>
      <c r="G114" s="140"/>
    </row>
    <row r="115" spans="1:7" ht="12.75">
      <c r="A115" s="140"/>
      <c r="B115" s="140"/>
      <c r="C115" s="140"/>
      <c r="D115" s="140"/>
      <c r="E115" s="140"/>
      <c r="F115" s="140"/>
      <c r="G115" s="140"/>
    </row>
    <row r="116" spans="1:7" ht="12.75">
      <c r="A116" s="140"/>
      <c r="B116" s="140"/>
      <c r="C116" s="140"/>
      <c r="D116" s="140"/>
      <c r="E116" s="140"/>
      <c r="F116" s="140"/>
      <c r="G116" s="140"/>
    </row>
    <row r="117" spans="1:7" ht="12.75">
      <c r="A117" s="140"/>
      <c r="B117" s="140"/>
      <c r="C117" s="140"/>
      <c r="D117" s="140"/>
      <c r="E117" s="140"/>
      <c r="F117" s="140"/>
      <c r="G117" s="140"/>
    </row>
    <row r="118" spans="1:7" ht="12.75">
      <c r="A118" s="140"/>
      <c r="B118" s="140"/>
      <c r="C118" s="140"/>
      <c r="D118" s="140"/>
      <c r="E118" s="140"/>
      <c r="F118" s="140"/>
      <c r="G118" s="140"/>
    </row>
    <row r="119" spans="1:7" ht="12.75">
      <c r="A119" s="140"/>
      <c r="B119" s="140"/>
      <c r="C119" s="140"/>
      <c r="D119" s="140"/>
      <c r="E119" s="140"/>
      <c r="F119" s="140"/>
      <c r="G119" s="140"/>
    </row>
    <row r="120" spans="1:7" ht="12.75">
      <c r="A120" s="140"/>
      <c r="B120" s="140"/>
      <c r="C120" s="140"/>
      <c r="D120" s="140"/>
      <c r="E120" s="140"/>
      <c r="F120" s="140"/>
      <c r="G120" s="140"/>
    </row>
    <row r="121" spans="1:7" ht="12.75">
      <c r="A121" s="140"/>
      <c r="B121" s="140"/>
      <c r="C121" s="140"/>
      <c r="D121" s="140"/>
      <c r="E121" s="140"/>
      <c r="F121" s="140"/>
      <c r="G121" s="140"/>
    </row>
    <row r="122" spans="1:7" ht="12.75">
      <c r="A122" s="140"/>
      <c r="B122" s="140"/>
      <c r="C122" s="140"/>
      <c r="D122" s="140"/>
      <c r="E122" s="140"/>
      <c r="F122" s="140"/>
      <c r="G122" s="140"/>
    </row>
    <row r="123" spans="1:7" ht="12.75">
      <c r="A123" s="140"/>
      <c r="B123" s="140"/>
      <c r="C123" s="140"/>
      <c r="D123" s="140"/>
      <c r="E123" s="140"/>
      <c r="F123" s="140"/>
      <c r="G123" s="140"/>
    </row>
    <row r="124" spans="1:7" ht="12.75">
      <c r="A124" s="140"/>
      <c r="B124" s="140"/>
      <c r="C124" s="140"/>
      <c r="D124" s="140"/>
      <c r="E124" s="140"/>
      <c r="F124" s="140"/>
      <c r="G124" s="140"/>
    </row>
    <row r="125" spans="1:7" ht="12.75">
      <c r="A125" s="140"/>
      <c r="B125" s="140"/>
      <c r="C125" s="140"/>
      <c r="D125" s="140"/>
      <c r="E125" s="140"/>
      <c r="F125" s="140"/>
      <c r="G125" s="140"/>
    </row>
    <row r="126" spans="1:7" ht="12.75">
      <c r="A126" s="140"/>
      <c r="B126" s="140"/>
      <c r="C126" s="140"/>
      <c r="D126" s="140"/>
      <c r="E126" s="140"/>
      <c r="F126" s="140"/>
      <c r="G126" s="140"/>
    </row>
    <row r="127" spans="1:7" ht="12.75">
      <c r="A127" s="140"/>
      <c r="B127" s="140"/>
      <c r="C127" s="140"/>
      <c r="D127" s="140"/>
      <c r="E127" s="140"/>
      <c r="F127" s="140"/>
      <c r="G127" s="140"/>
    </row>
    <row r="128" spans="1:7" ht="12.75">
      <c r="A128" s="140"/>
      <c r="B128" s="140"/>
      <c r="C128" s="140"/>
      <c r="D128" s="140"/>
      <c r="E128" s="140"/>
      <c r="F128" s="140"/>
      <c r="G128" s="140"/>
    </row>
    <row r="129" spans="1:7" ht="12.75">
      <c r="A129" s="140"/>
      <c r="B129" s="140"/>
      <c r="C129" s="140"/>
      <c r="D129" s="140"/>
      <c r="E129" s="140"/>
      <c r="F129" s="140"/>
      <c r="G129" s="140"/>
    </row>
    <row r="130" spans="1:7" ht="12.75">
      <c r="A130" s="140"/>
      <c r="B130" s="140"/>
      <c r="C130" s="140"/>
      <c r="D130" s="140"/>
      <c r="E130" s="140"/>
      <c r="F130" s="140"/>
      <c r="G130" s="140"/>
    </row>
    <row r="131" spans="1:7" ht="12.75">
      <c r="A131" s="140"/>
      <c r="B131" s="140"/>
      <c r="C131" s="140"/>
      <c r="D131" s="140"/>
      <c r="E131" s="140"/>
      <c r="F131" s="140"/>
      <c r="G131" s="140"/>
    </row>
    <row r="132" spans="1:7" ht="12.75">
      <c r="A132" s="140"/>
      <c r="B132" s="140"/>
      <c r="C132" s="140"/>
      <c r="D132" s="140"/>
      <c r="E132" s="140"/>
      <c r="F132" s="140"/>
      <c r="G132" s="140"/>
    </row>
    <row r="133" spans="1:7" ht="12.75">
      <c r="A133" s="140"/>
      <c r="B133" s="140"/>
      <c r="C133" s="140"/>
      <c r="D133" s="140"/>
      <c r="E133" s="140"/>
      <c r="F133" s="140"/>
      <c r="G133" s="140"/>
    </row>
    <row r="134" spans="1:7" ht="12.75">
      <c r="A134" s="140"/>
      <c r="B134" s="140"/>
      <c r="C134" s="140"/>
      <c r="D134" s="140"/>
      <c r="E134" s="140"/>
      <c r="F134" s="140"/>
      <c r="G134" s="140"/>
    </row>
    <row r="135" spans="1:7" ht="12.75">
      <c r="A135" s="140"/>
      <c r="B135" s="140"/>
      <c r="C135" s="140"/>
      <c r="D135" s="140"/>
      <c r="E135" s="140"/>
      <c r="F135" s="140"/>
      <c r="G135" s="140"/>
    </row>
    <row r="136" spans="1:7" ht="12.75">
      <c r="A136" s="140"/>
      <c r="B136" s="140"/>
      <c r="C136" s="140"/>
      <c r="D136" s="140"/>
      <c r="E136" s="140"/>
      <c r="F136" s="140"/>
      <c r="G136" s="140"/>
    </row>
    <row r="137" spans="1:7" ht="12.75">
      <c r="A137" s="140"/>
      <c r="B137" s="140"/>
      <c r="C137" s="140"/>
      <c r="D137" s="140"/>
      <c r="E137" s="140"/>
      <c r="F137" s="140"/>
      <c r="G137" s="140"/>
    </row>
    <row r="138" spans="1:7" ht="12.75">
      <c r="A138" s="140"/>
      <c r="B138" s="140"/>
      <c r="C138" s="140"/>
      <c r="D138" s="140"/>
      <c r="E138" s="140"/>
      <c r="F138" s="140"/>
      <c r="G138" s="140"/>
    </row>
    <row r="139" spans="1:7" ht="12.75">
      <c r="A139" s="140"/>
      <c r="B139" s="140"/>
      <c r="C139" s="140"/>
      <c r="D139" s="140"/>
      <c r="E139" s="140"/>
      <c r="F139" s="140"/>
      <c r="G139" s="140"/>
    </row>
    <row r="140" spans="1:7" ht="12.75">
      <c r="A140" s="140"/>
      <c r="B140" s="140"/>
      <c r="C140" s="140"/>
      <c r="D140" s="140"/>
      <c r="E140" s="140"/>
      <c r="F140" s="140"/>
      <c r="G140" s="140"/>
    </row>
    <row r="141" spans="1:7" ht="12.75">
      <c r="A141" s="140"/>
      <c r="B141" s="140"/>
      <c r="C141" s="140"/>
      <c r="D141" s="140"/>
      <c r="E141" s="140"/>
      <c r="F141" s="140"/>
      <c r="G141" s="140"/>
    </row>
    <row r="142" spans="1:7" ht="12.75">
      <c r="A142" s="140"/>
      <c r="B142" s="140"/>
      <c r="C142" s="140"/>
      <c r="D142" s="140"/>
      <c r="E142" s="140"/>
      <c r="F142" s="140"/>
      <c r="G142" s="140"/>
    </row>
    <row r="143" spans="1:7" ht="12.75">
      <c r="A143" s="140"/>
      <c r="B143" s="140"/>
      <c r="C143" s="140"/>
      <c r="D143" s="140"/>
      <c r="E143" s="140"/>
      <c r="F143" s="140"/>
      <c r="G143" s="140"/>
    </row>
    <row r="144" spans="1:7" ht="12.75">
      <c r="A144" s="140"/>
      <c r="B144" s="140"/>
      <c r="C144" s="140"/>
      <c r="D144" s="140"/>
      <c r="E144" s="140"/>
      <c r="F144" s="140"/>
      <c r="G144" s="140"/>
    </row>
    <row r="145" spans="1:7" ht="12.75">
      <c r="A145" s="140"/>
      <c r="B145" s="140"/>
      <c r="C145" s="140"/>
      <c r="D145" s="140"/>
      <c r="E145" s="140"/>
      <c r="F145" s="140"/>
      <c r="G145" s="140"/>
    </row>
    <row r="146" spans="1:7" ht="12.75">
      <c r="A146" s="140"/>
      <c r="B146" s="140"/>
      <c r="C146" s="140"/>
      <c r="D146" s="140"/>
      <c r="E146" s="140"/>
      <c r="F146" s="140"/>
      <c r="G146" s="140"/>
    </row>
    <row r="147" spans="1:7" ht="12.75">
      <c r="A147" s="140"/>
      <c r="B147" s="140"/>
      <c r="C147" s="140"/>
      <c r="D147" s="140"/>
      <c r="E147" s="140"/>
      <c r="F147" s="140"/>
      <c r="G147" s="140"/>
    </row>
    <row r="148" spans="1:7" ht="12.75">
      <c r="A148" s="140"/>
      <c r="B148" s="140"/>
      <c r="C148" s="140"/>
      <c r="D148" s="140"/>
      <c r="E148" s="140"/>
      <c r="F148" s="140"/>
      <c r="G148" s="140"/>
    </row>
    <row r="149" spans="1:7" ht="12.75">
      <c r="A149" s="140"/>
      <c r="B149" s="140"/>
      <c r="C149" s="140"/>
      <c r="D149" s="140"/>
      <c r="E149" s="140"/>
      <c r="F149" s="140"/>
      <c r="G149" s="140"/>
    </row>
    <row r="150" spans="1:7" ht="12.75">
      <c r="A150" s="140"/>
      <c r="B150" s="140"/>
      <c r="C150" s="140"/>
      <c r="D150" s="140"/>
      <c r="E150" s="140"/>
      <c r="F150" s="140"/>
      <c r="G150" s="140"/>
    </row>
    <row r="151" spans="1:7" ht="12.75">
      <c r="A151" s="140"/>
      <c r="B151" s="140"/>
      <c r="C151" s="140"/>
      <c r="D151" s="140"/>
      <c r="E151" s="140"/>
      <c r="F151" s="140"/>
      <c r="G151" s="140"/>
    </row>
    <row r="152" spans="1:7" ht="12.75">
      <c r="A152" s="140"/>
      <c r="B152" s="140"/>
      <c r="C152" s="140"/>
      <c r="D152" s="140"/>
      <c r="E152" s="140"/>
      <c r="F152" s="140"/>
      <c r="G152" s="140"/>
    </row>
    <row r="153" spans="1:7" ht="12.75">
      <c r="A153" s="140"/>
      <c r="B153" s="140"/>
      <c r="C153" s="140"/>
      <c r="D153" s="140"/>
      <c r="E153" s="140"/>
      <c r="F153" s="140"/>
      <c r="G153" s="140"/>
    </row>
    <row r="154" spans="1:7" ht="12.75">
      <c r="A154" s="140"/>
      <c r="B154" s="140"/>
      <c r="C154" s="140"/>
      <c r="D154" s="140"/>
      <c r="E154" s="140"/>
      <c r="F154" s="140"/>
      <c r="G154" s="140"/>
    </row>
    <row r="155" spans="1:7" ht="12.75">
      <c r="A155" s="140"/>
      <c r="B155" s="140"/>
      <c r="C155" s="140"/>
      <c r="D155" s="140"/>
      <c r="E155" s="140"/>
      <c r="F155" s="140"/>
      <c r="G155" s="140"/>
    </row>
    <row r="156" spans="1:7" ht="12.75">
      <c r="A156" s="140"/>
      <c r="B156" s="140"/>
      <c r="C156" s="140"/>
      <c r="D156" s="140"/>
      <c r="E156" s="140"/>
      <c r="F156" s="140"/>
      <c r="G156" s="140"/>
    </row>
    <row r="157" spans="1:7" ht="12.75">
      <c r="A157" s="140"/>
      <c r="B157" s="140"/>
      <c r="C157" s="140"/>
      <c r="D157" s="140"/>
      <c r="E157" s="140"/>
      <c r="F157" s="140"/>
      <c r="G157" s="140"/>
    </row>
    <row r="158" spans="1:7" ht="12.75">
      <c r="A158" s="140"/>
      <c r="B158" s="140"/>
      <c r="C158" s="140"/>
      <c r="D158" s="140"/>
      <c r="E158" s="140"/>
      <c r="F158" s="140"/>
      <c r="G158" s="140"/>
    </row>
    <row r="159" spans="1:7" ht="12.75">
      <c r="A159" s="140"/>
      <c r="B159" s="140"/>
      <c r="C159" s="140"/>
      <c r="D159" s="140"/>
      <c r="E159" s="140"/>
      <c r="F159" s="140"/>
      <c r="G159" s="140"/>
    </row>
    <row r="160" spans="1:7" ht="12.75">
      <c r="A160" s="140"/>
      <c r="B160" s="140"/>
      <c r="C160" s="140"/>
      <c r="D160" s="140"/>
      <c r="E160" s="140"/>
      <c r="F160" s="140"/>
      <c r="G160" s="140"/>
    </row>
    <row r="161" spans="1:7" ht="12.75">
      <c r="A161" s="140"/>
      <c r="B161" s="140"/>
      <c r="C161" s="140"/>
      <c r="D161" s="140"/>
      <c r="E161" s="140"/>
      <c r="F161" s="140"/>
      <c r="G161" s="140"/>
    </row>
    <row r="162" spans="1:7" ht="12.75">
      <c r="A162" s="140"/>
      <c r="B162" s="140"/>
      <c r="C162" s="140"/>
      <c r="D162" s="140"/>
      <c r="E162" s="140"/>
      <c r="F162" s="140"/>
      <c r="G162" s="140"/>
    </row>
    <row r="163" spans="1:7" ht="12.75">
      <c r="A163" s="140"/>
      <c r="B163" s="140"/>
      <c r="C163" s="140"/>
      <c r="D163" s="140"/>
      <c r="E163" s="140"/>
      <c r="F163" s="140"/>
      <c r="G163" s="140"/>
    </row>
    <row r="164" spans="1:7" ht="12.75">
      <c r="A164" s="140"/>
      <c r="B164" s="140"/>
      <c r="C164" s="140"/>
      <c r="D164" s="140"/>
      <c r="E164" s="140"/>
      <c r="F164" s="140"/>
      <c r="G164" s="140"/>
    </row>
    <row r="165" spans="1:7" ht="12.75">
      <c r="A165" s="140"/>
      <c r="B165" s="140"/>
      <c r="C165" s="140"/>
      <c r="D165" s="140"/>
      <c r="E165" s="140"/>
      <c r="F165" s="140"/>
      <c r="G165" s="140"/>
    </row>
    <row r="166" spans="1:7" ht="12.75">
      <c r="A166" s="140"/>
      <c r="B166" s="140"/>
      <c r="C166" s="140"/>
      <c r="D166" s="140"/>
      <c r="E166" s="140"/>
      <c r="F166" s="140"/>
      <c r="G166" s="140"/>
    </row>
    <row r="167" spans="1:7" ht="12.75">
      <c r="A167" s="140"/>
      <c r="B167" s="140"/>
      <c r="C167" s="140"/>
      <c r="D167" s="140"/>
      <c r="E167" s="140"/>
      <c r="F167" s="140"/>
      <c r="G167" s="140"/>
    </row>
    <row r="168" spans="1:7" ht="12.75">
      <c r="A168" s="140"/>
      <c r="B168" s="140"/>
      <c r="C168" s="140"/>
      <c r="D168" s="140"/>
      <c r="E168" s="140"/>
      <c r="F168" s="140"/>
      <c r="G168" s="140"/>
    </row>
    <row r="169" spans="1:7" ht="12.75">
      <c r="A169" s="140"/>
      <c r="B169" s="140"/>
      <c r="C169" s="140"/>
      <c r="D169" s="140"/>
      <c r="E169" s="140"/>
      <c r="F169" s="140"/>
      <c r="G169" s="140"/>
    </row>
    <row r="170" spans="1:7" ht="12.75">
      <c r="A170" s="140"/>
      <c r="B170" s="140"/>
      <c r="C170" s="140"/>
      <c r="D170" s="140"/>
      <c r="E170" s="140"/>
      <c r="F170" s="140"/>
      <c r="G170" s="140"/>
    </row>
    <row r="171" spans="1:7" ht="12.75">
      <c r="A171" s="140"/>
      <c r="B171" s="140"/>
      <c r="C171" s="140"/>
      <c r="D171" s="140"/>
      <c r="E171" s="140"/>
      <c r="F171" s="140"/>
      <c r="G171" s="140"/>
    </row>
    <row r="172" spans="1:7" ht="12.75">
      <c r="A172" s="140"/>
      <c r="B172" s="140"/>
      <c r="C172" s="140"/>
      <c r="D172" s="140"/>
      <c r="E172" s="140"/>
      <c r="F172" s="140"/>
      <c r="G172" s="140"/>
    </row>
    <row r="173" spans="1:7" ht="12.75">
      <c r="A173" s="140"/>
      <c r="B173" s="140"/>
      <c r="C173" s="140"/>
      <c r="D173" s="140"/>
      <c r="E173" s="140"/>
      <c r="F173" s="140"/>
      <c r="G173" s="140"/>
    </row>
    <row r="174" spans="1:7" ht="12.75">
      <c r="A174" s="140"/>
      <c r="B174" s="140"/>
      <c r="C174" s="140"/>
      <c r="D174" s="140"/>
      <c r="E174" s="140"/>
      <c r="F174" s="140"/>
      <c r="G174" s="140"/>
    </row>
    <row r="175" spans="1:7" ht="12.75">
      <c r="A175" s="140"/>
      <c r="B175" s="140"/>
      <c r="C175" s="140"/>
      <c r="D175" s="140"/>
      <c r="E175" s="140"/>
      <c r="F175" s="140"/>
      <c r="G175" s="140"/>
    </row>
    <row r="176" spans="1:7" ht="12.75">
      <c r="A176" s="140"/>
      <c r="B176" s="140"/>
      <c r="C176" s="140"/>
      <c r="D176" s="140"/>
      <c r="E176" s="140"/>
      <c r="F176" s="140"/>
      <c r="G176" s="140"/>
    </row>
    <row r="177" spans="1:7" ht="12.75">
      <c r="A177" s="140"/>
      <c r="B177" s="140"/>
      <c r="C177" s="140"/>
      <c r="D177" s="140"/>
      <c r="E177" s="140"/>
      <c r="F177" s="140"/>
      <c r="G177" s="140"/>
    </row>
    <row r="178" spans="1:7" ht="12.75">
      <c r="A178" s="140"/>
      <c r="B178" s="140"/>
      <c r="C178" s="140"/>
      <c r="D178" s="140"/>
      <c r="E178" s="140"/>
      <c r="F178" s="140"/>
      <c r="G178" s="140"/>
    </row>
    <row r="179" spans="1:7" ht="12.75">
      <c r="A179" s="140"/>
      <c r="B179" s="140"/>
      <c r="C179" s="140"/>
      <c r="D179" s="140"/>
      <c r="E179" s="140"/>
      <c r="F179" s="140"/>
      <c r="G179" s="140"/>
    </row>
    <row r="180" spans="1:7" ht="12.75">
      <c r="A180" s="140"/>
      <c r="B180" s="140"/>
      <c r="C180" s="140"/>
      <c r="D180" s="140"/>
      <c r="E180" s="140"/>
      <c r="F180" s="140"/>
      <c r="G180" s="140"/>
    </row>
    <row r="181" spans="1:7" ht="12.75">
      <c r="A181" s="140"/>
      <c r="B181" s="140"/>
      <c r="C181" s="140"/>
      <c r="D181" s="140"/>
      <c r="E181" s="140"/>
      <c r="F181" s="140"/>
      <c r="G181" s="140"/>
    </row>
    <row r="182" spans="1:7" ht="12.75">
      <c r="A182" s="140"/>
      <c r="B182" s="140"/>
      <c r="C182" s="140"/>
      <c r="D182" s="140"/>
      <c r="E182" s="140"/>
      <c r="F182" s="140"/>
      <c r="G182" s="140"/>
    </row>
    <row r="183" spans="1:7" ht="12.75">
      <c r="A183" s="140"/>
      <c r="B183" s="140"/>
      <c r="C183" s="140"/>
      <c r="D183" s="140"/>
      <c r="E183" s="140"/>
      <c r="F183" s="140"/>
      <c r="G183" s="140"/>
    </row>
    <row r="184" spans="1:7" ht="12.75">
      <c r="A184" s="140"/>
      <c r="B184" s="140"/>
      <c r="C184" s="140"/>
      <c r="D184" s="140"/>
      <c r="E184" s="140"/>
      <c r="F184" s="140"/>
      <c r="G184" s="140"/>
    </row>
    <row r="185" spans="1:7" ht="12.75">
      <c r="A185" s="140"/>
      <c r="B185" s="140"/>
      <c r="C185" s="140"/>
      <c r="D185" s="140"/>
      <c r="E185" s="140"/>
      <c r="F185" s="140"/>
      <c r="G185" s="140"/>
    </row>
    <row r="186" spans="1:7" ht="12.75">
      <c r="A186" s="140"/>
      <c r="B186" s="140"/>
      <c r="C186" s="140"/>
      <c r="D186" s="140"/>
      <c r="E186" s="140"/>
      <c r="F186" s="140"/>
      <c r="G186" s="140"/>
    </row>
    <row r="187" spans="1:7" ht="12.75">
      <c r="A187" s="140"/>
      <c r="B187" s="140"/>
      <c r="C187" s="140"/>
      <c r="D187" s="140"/>
      <c r="E187" s="140"/>
      <c r="F187" s="140"/>
      <c r="G187" s="140"/>
    </row>
    <row r="188" spans="1:7" ht="12.75">
      <c r="A188" s="140"/>
      <c r="B188" s="140"/>
      <c r="C188" s="140"/>
      <c r="D188" s="140"/>
      <c r="E188" s="140"/>
      <c r="F188" s="140"/>
      <c r="G188" s="140"/>
    </row>
    <row r="189" spans="1:7" ht="12.75">
      <c r="A189" s="140"/>
      <c r="B189" s="140"/>
      <c r="C189" s="140"/>
      <c r="D189" s="140"/>
      <c r="E189" s="140"/>
      <c r="F189" s="140"/>
      <c r="G189" s="140"/>
    </row>
    <row r="190" spans="1:7" ht="12.75">
      <c r="A190" s="140"/>
      <c r="B190" s="140"/>
      <c r="C190" s="140"/>
      <c r="D190" s="140"/>
      <c r="E190" s="140"/>
      <c r="F190" s="140"/>
      <c r="G190" s="140"/>
    </row>
    <row r="191" spans="1:7" ht="12.75">
      <c r="A191" s="140"/>
      <c r="B191" s="140"/>
      <c r="C191" s="140"/>
      <c r="D191" s="140"/>
      <c r="E191" s="140"/>
      <c r="F191" s="140"/>
      <c r="G191" s="140"/>
    </row>
    <row r="192" spans="1:7" ht="12.75">
      <c r="A192" s="140"/>
      <c r="B192" s="140"/>
      <c r="C192" s="140"/>
      <c r="D192" s="140"/>
      <c r="E192" s="140"/>
      <c r="F192" s="140"/>
      <c r="G192" s="140"/>
    </row>
    <row r="193" spans="1:7" ht="12.75">
      <c r="A193" s="140"/>
      <c r="B193" s="140"/>
      <c r="C193" s="140"/>
      <c r="D193" s="140"/>
      <c r="E193" s="140"/>
      <c r="F193" s="140"/>
      <c r="G193" s="140"/>
    </row>
    <row r="194" spans="1:7" ht="12.75">
      <c r="A194" s="140"/>
      <c r="B194" s="140"/>
      <c r="C194" s="140"/>
      <c r="D194" s="140"/>
      <c r="E194" s="140"/>
      <c r="F194" s="140"/>
      <c r="G194" s="140"/>
    </row>
    <row r="195" spans="1:7" ht="12.75">
      <c r="A195" s="140"/>
      <c r="B195" s="140"/>
      <c r="C195" s="140"/>
      <c r="D195" s="140"/>
      <c r="E195" s="140"/>
      <c r="F195" s="140"/>
      <c r="G195" s="140"/>
    </row>
    <row r="196" spans="1:7" ht="12.75">
      <c r="A196" s="140"/>
      <c r="B196" s="140"/>
      <c r="C196" s="140"/>
      <c r="D196" s="140"/>
      <c r="E196" s="140"/>
      <c r="F196" s="140"/>
      <c r="G196" s="140"/>
    </row>
    <row r="197" spans="1:7" ht="12.75">
      <c r="A197" s="140"/>
      <c r="B197" s="140"/>
      <c r="C197" s="140"/>
      <c r="D197" s="140"/>
      <c r="E197" s="140"/>
      <c r="F197" s="140"/>
      <c r="G197" s="140"/>
    </row>
    <row r="198" spans="1:7" ht="12.75">
      <c r="A198" s="140"/>
      <c r="B198" s="140"/>
      <c r="C198" s="140"/>
      <c r="D198" s="140"/>
      <c r="E198" s="140"/>
      <c r="F198" s="140"/>
      <c r="G198" s="140"/>
    </row>
    <row r="199" spans="1:7" ht="12.75">
      <c r="A199" s="140"/>
      <c r="B199" s="140"/>
      <c r="C199" s="140"/>
      <c r="D199" s="140"/>
      <c r="E199" s="140"/>
      <c r="F199" s="140"/>
      <c r="G199" s="140"/>
    </row>
    <row r="200" spans="1:7" ht="12.75">
      <c r="A200" s="140"/>
      <c r="B200" s="140"/>
      <c r="C200" s="140"/>
      <c r="D200" s="140"/>
      <c r="E200" s="140"/>
      <c r="F200" s="140"/>
      <c r="G200" s="140"/>
    </row>
    <row r="201" spans="1:7" ht="12.75">
      <c r="A201" s="140"/>
      <c r="B201" s="140"/>
      <c r="C201" s="140"/>
      <c r="D201" s="140"/>
      <c r="E201" s="140"/>
      <c r="F201" s="140"/>
      <c r="G201" s="140"/>
    </row>
    <row r="202" spans="1:7" ht="12.75">
      <c r="A202" s="140"/>
      <c r="B202" s="140"/>
      <c r="C202" s="140"/>
      <c r="D202" s="140"/>
      <c r="E202" s="140"/>
      <c r="F202" s="140"/>
      <c r="G202" s="140"/>
    </row>
    <row r="203" spans="1:7" ht="12.75">
      <c r="A203" s="140"/>
      <c r="B203" s="140"/>
      <c r="C203" s="140"/>
      <c r="D203" s="140"/>
      <c r="E203" s="140"/>
      <c r="F203" s="140"/>
      <c r="G203" s="140"/>
    </row>
    <row r="204" spans="1:7" ht="12.75">
      <c r="A204" s="140"/>
      <c r="B204" s="140"/>
      <c r="C204" s="140"/>
      <c r="D204" s="140"/>
      <c r="E204" s="140"/>
      <c r="F204" s="140"/>
      <c r="G204" s="140"/>
    </row>
    <row r="205" spans="1:7" ht="12.75">
      <c r="A205" s="140"/>
      <c r="B205" s="140"/>
      <c r="C205" s="140"/>
      <c r="D205" s="140"/>
      <c r="E205" s="140"/>
      <c r="F205" s="140"/>
      <c r="G205" s="140"/>
    </row>
    <row r="206" spans="1:7" ht="12.75">
      <c r="A206" s="140"/>
      <c r="B206" s="140"/>
      <c r="C206" s="140"/>
      <c r="D206" s="140"/>
      <c r="E206" s="140"/>
      <c r="F206" s="140"/>
      <c r="G206" s="140"/>
    </row>
    <row r="207" spans="1:7" ht="12.75">
      <c r="A207" s="140"/>
      <c r="B207" s="140"/>
      <c r="C207" s="140"/>
      <c r="D207" s="140"/>
      <c r="E207" s="140"/>
      <c r="F207" s="140"/>
      <c r="G207" s="140"/>
    </row>
    <row r="208" spans="1:7" ht="12.75">
      <c r="A208" s="140"/>
      <c r="B208" s="140"/>
      <c r="C208" s="140"/>
      <c r="D208" s="140"/>
      <c r="E208" s="140"/>
      <c r="F208" s="140"/>
      <c r="G208" s="140"/>
    </row>
    <row r="209" spans="1:7" ht="12.75">
      <c r="A209" s="140"/>
      <c r="B209" s="140"/>
      <c r="C209" s="140"/>
      <c r="D209" s="140"/>
      <c r="E209" s="140"/>
      <c r="F209" s="140"/>
      <c r="G209" s="140"/>
    </row>
    <row r="210" spans="1:7" ht="12.75">
      <c r="A210" s="140"/>
      <c r="B210" s="140"/>
      <c r="C210" s="140"/>
      <c r="D210" s="140"/>
      <c r="E210" s="140"/>
      <c r="F210" s="140"/>
      <c r="G210" s="140"/>
    </row>
    <row r="211" spans="1:7" ht="12.75">
      <c r="A211" s="140"/>
      <c r="B211" s="140"/>
      <c r="C211" s="140"/>
      <c r="D211" s="140"/>
      <c r="E211" s="140"/>
      <c r="F211" s="140"/>
      <c r="G211" s="140"/>
    </row>
    <row r="212" spans="1:7" ht="12.75">
      <c r="A212" s="140"/>
      <c r="B212" s="140"/>
      <c r="C212" s="140"/>
      <c r="D212" s="140"/>
      <c r="E212" s="140"/>
      <c r="F212" s="140"/>
      <c r="G212" s="140"/>
    </row>
    <row r="213" spans="1:7" ht="12.75">
      <c r="A213" s="140"/>
      <c r="B213" s="140"/>
      <c r="C213" s="140"/>
      <c r="D213" s="140"/>
      <c r="E213" s="140"/>
      <c r="F213" s="140"/>
      <c r="G213" s="140"/>
    </row>
    <row r="214" spans="1:7" ht="12.75">
      <c r="A214" s="140"/>
      <c r="B214" s="140"/>
      <c r="C214" s="140"/>
      <c r="D214" s="140"/>
      <c r="E214" s="140"/>
      <c r="F214" s="140"/>
      <c r="G214" s="140"/>
    </row>
    <row r="215" spans="1:7" ht="12.75">
      <c r="A215" s="140"/>
      <c r="B215" s="140"/>
      <c r="C215" s="140"/>
      <c r="D215" s="140"/>
      <c r="E215" s="140"/>
      <c r="F215" s="140"/>
      <c r="G215" s="140"/>
    </row>
    <row r="216" spans="1:7" ht="12.75">
      <c r="A216" s="140"/>
      <c r="B216" s="140"/>
      <c r="C216" s="140"/>
      <c r="D216" s="140"/>
      <c r="E216" s="140"/>
      <c r="F216" s="140"/>
      <c r="G216" s="140"/>
    </row>
    <row r="217" spans="1:7" ht="12.75">
      <c r="A217" s="140"/>
      <c r="B217" s="140"/>
      <c r="C217" s="140"/>
      <c r="D217" s="140"/>
      <c r="E217" s="140"/>
      <c r="F217" s="140"/>
      <c r="G217" s="140"/>
    </row>
    <row r="218" spans="1:7" ht="12.75">
      <c r="A218" s="140"/>
      <c r="B218" s="140"/>
      <c r="C218" s="140"/>
      <c r="D218" s="140"/>
      <c r="E218" s="140"/>
      <c r="F218" s="140"/>
      <c r="G218" s="140"/>
    </row>
    <row r="219" spans="1:7" ht="12.75">
      <c r="A219" s="140"/>
      <c r="B219" s="140"/>
      <c r="C219" s="140"/>
      <c r="D219" s="140"/>
      <c r="E219" s="140"/>
      <c r="F219" s="140"/>
      <c r="G219" s="140"/>
    </row>
    <row r="220" spans="1:7" ht="12.75">
      <c r="A220" s="140"/>
      <c r="B220" s="140"/>
      <c r="C220" s="140"/>
      <c r="D220" s="140"/>
      <c r="E220" s="140"/>
      <c r="F220" s="140"/>
      <c r="G220" s="140"/>
    </row>
    <row r="221" spans="1:7" ht="12.75">
      <c r="A221" s="140"/>
      <c r="B221" s="140"/>
      <c r="C221" s="140"/>
      <c r="D221" s="140"/>
      <c r="E221" s="140"/>
      <c r="F221" s="140"/>
      <c r="G221" s="140"/>
    </row>
    <row r="222" spans="1:7" ht="12.75">
      <c r="A222" s="140"/>
      <c r="B222" s="140"/>
      <c r="C222" s="140"/>
      <c r="D222" s="140"/>
      <c r="E222" s="140"/>
      <c r="F222" s="140"/>
      <c r="G222" s="140"/>
    </row>
    <row r="223" spans="1:7" ht="12.75">
      <c r="A223" s="140"/>
      <c r="B223" s="140"/>
      <c r="C223" s="140"/>
      <c r="D223" s="140"/>
      <c r="E223" s="140"/>
      <c r="F223" s="140"/>
      <c r="G223" s="140"/>
    </row>
    <row r="224" spans="1:7" ht="12.75">
      <c r="A224" s="140"/>
      <c r="B224" s="140"/>
      <c r="C224" s="140"/>
      <c r="D224" s="140"/>
      <c r="E224" s="140"/>
      <c r="F224" s="140"/>
      <c r="G224" s="140"/>
    </row>
    <row r="225" spans="1:7" ht="12.75">
      <c r="A225" s="140"/>
      <c r="B225" s="140"/>
      <c r="C225" s="140"/>
      <c r="D225" s="140"/>
      <c r="E225" s="140"/>
      <c r="F225" s="140"/>
      <c r="G225" s="140"/>
    </row>
    <row r="226" spans="1:7" ht="12.75">
      <c r="A226" s="140"/>
      <c r="B226" s="140"/>
      <c r="C226" s="140"/>
      <c r="D226" s="140"/>
      <c r="E226" s="140"/>
      <c r="F226" s="140"/>
      <c r="G226" s="140"/>
    </row>
    <row r="227" spans="1:7" ht="12.75">
      <c r="A227" s="140"/>
      <c r="B227" s="140"/>
      <c r="C227" s="140"/>
      <c r="D227" s="140"/>
      <c r="E227" s="140"/>
      <c r="F227" s="140"/>
      <c r="G227" s="140"/>
    </row>
    <row r="228" spans="1:7" ht="12.75">
      <c r="A228" s="140"/>
      <c r="B228" s="140"/>
      <c r="C228" s="140"/>
      <c r="D228" s="140"/>
      <c r="E228" s="140"/>
      <c r="F228" s="140"/>
      <c r="G228" s="140"/>
    </row>
    <row r="229" spans="1:7" ht="12.75">
      <c r="A229" s="140"/>
      <c r="B229" s="140"/>
      <c r="C229" s="140"/>
      <c r="D229" s="140"/>
      <c r="E229" s="140"/>
      <c r="F229" s="140"/>
      <c r="G229" s="140"/>
    </row>
    <row r="230" spans="1:7" ht="12.75">
      <c r="A230" s="140"/>
      <c r="B230" s="140"/>
      <c r="C230" s="140"/>
      <c r="D230" s="140"/>
      <c r="E230" s="140"/>
      <c r="F230" s="140"/>
      <c r="G230" s="140"/>
    </row>
    <row r="231" spans="1:7" ht="12.75">
      <c r="A231" s="140"/>
      <c r="B231" s="140"/>
      <c r="C231" s="140"/>
      <c r="D231" s="140"/>
      <c r="E231" s="140"/>
      <c r="F231" s="140"/>
      <c r="G231" s="140"/>
    </row>
    <row r="232" spans="1:7" ht="12.75">
      <c r="A232" s="140"/>
      <c r="B232" s="140"/>
      <c r="C232" s="140"/>
      <c r="D232" s="140"/>
      <c r="E232" s="140"/>
      <c r="F232" s="140"/>
      <c r="G232" s="140"/>
    </row>
    <row r="233" spans="1:7" ht="12.75">
      <c r="A233" s="140"/>
      <c r="B233" s="140"/>
      <c r="C233" s="140"/>
      <c r="D233" s="140"/>
      <c r="E233" s="140"/>
      <c r="F233" s="140"/>
      <c r="G233" s="140"/>
    </row>
    <row r="234" spans="1:7" ht="12.75">
      <c r="A234" s="140"/>
      <c r="B234" s="140"/>
      <c r="C234" s="140"/>
      <c r="D234" s="140"/>
      <c r="E234" s="140"/>
      <c r="F234" s="140"/>
      <c r="G234" s="140"/>
    </row>
    <row r="235" spans="1:7" ht="12.75">
      <c r="A235" s="140"/>
      <c r="B235" s="140"/>
      <c r="C235" s="140"/>
      <c r="D235" s="140"/>
      <c r="E235" s="140"/>
      <c r="F235" s="140"/>
      <c r="G235" s="140"/>
    </row>
    <row r="236" spans="1:7" ht="12.75">
      <c r="A236" s="140"/>
      <c r="B236" s="140"/>
      <c r="C236" s="140"/>
      <c r="D236" s="140"/>
      <c r="E236" s="140"/>
      <c r="F236" s="140"/>
      <c r="G236" s="140"/>
    </row>
    <row r="237" spans="1:7" ht="12.75">
      <c r="A237" s="140"/>
      <c r="B237" s="140"/>
      <c r="C237" s="140"/>
      <c r="D237" s="140"/>
      <c r="E237" s="140"/>
      <c r="F237" s="140"/>
      <c r="G237" s="140"/>
    </row>
    <row r="238" spans="1:7" ht="12.75">
      <c r="A238" s="140"/>
      <c r="B238" s="140"/>
      <c r="C238" s="140"/>
      <c r="D238" s="140"/>
      <c r="E238" s="140"/>
      <c r="F238" s="140"/>
      <c r="G238" s="140"/>
    </row>
    <row r="239" spans="1:7" ht="12.75">
      <c r="A239" s="140"/>
      <c r="B239" s="140"/>
      <c r="C239" s="140"/>
      <c r="D239" s="140"/>
      <c r="E239" s="140"/>
      <c r="F239" s="140"/>
      <c r="G239" s="140"/>
    </row>
    <row r="240" spans="1:7" ht="12.75">
      <c r="A240" s="140"/>
      <c r="B240" s="140"/>
      <c r="C240" s="140"/>
      <c r="D240" s="140"/>
      <c r="E240" s="140"/>
      <c r="F240" s="140"/>
      <c r="G240" s="140"/>
    </row>
    <row r="241" spans="1:7" ht="12.75">
      <c r="A241" s="140"/>
      <c r="B241" s="140"/>
      <c r="C241" s="140"/>
      <c r="D241" s="140"/>
      <c r="E241" s="140"/>
      <c r="F241" s="140"/>
      <c r="G241" s="140"/>
    </row>
    <row r="242" spans="1:7" ht="12.75">
      <c r="A242" s="140"/>
      <c r="B242" s="140"/>
      <c r="C242" s="140"/>
      <c r="D242" s="140"/>
      <c r="E242" s="140"/>
      <c r="F242" s="140"/>
      <c r="G242" s="140"/>
    </row>
    <row r="243" spans="1:7" ht="12.75">
      <c r="A243" s="140"/>
      <c r="B243" s="140"/>
      <c r="C243" s="140"/>
      <c r="D243" s="140"/>
      <c r="E243" s="140"/>
      <c r="F243" s="140"/>
      <c r="G243" s="140"/>
    </row>
    <row r="244" spans="1:7" ht="12.75">
      <c r="A244" s="140"/>
      <c r="B244" s="140"/>
      <c r="C244" s="140"/>
      <c r="D244" s="140"/>
      <c r="E244" s="140"/>
      <c r="F244" s="140"/>
      <c r="G244" s="140"/>
    </row>
    <row r="245" spans="1:7" ht="12.75">
      <c r="A245" s="140"/>
      <c r="B245" s="140"/>
      <c r="C245" s="140"/>
      <c r="D245" s="140"/>
      <c r="E245" s="140"/>
      <c r="F245" s="140"/>
      <c r="G245" s="140"/>
    </row>
    <row r="246" spans="1:7" ht="12.75">
      <c r="A246" s="140"/>
      <c r="B246" s="140"/>
      <c r="C246" s="140"/>
      <c r="D246" s="140"/>
      <c r="E246" s="140"/>
      <c r="F246" s="140"/>
      <c r="G246" s="140"/>
    </row>
    <row r="247" spans="1:7" ht="12.75">
      <c r="A247" s="140"/>
      <c r="B247" s="140"/>
      <c r="C247" s="140"/>
      <c r="D247" s="140"/>
      <c r="E247" s="140"/>
      <c r="F247" s="140"/>
      <c r="G247" s="140"/>
    </row>
    <row r="248" spans="1:7" ht="12.75">
      <c r="A248" s="140"/>
      <c r="B248" s="140"/>
      <c r="C248" s="140"/>
      <c r="D248" s="140"/>
      <c r="E248" s="140"/>
      <c r="F248" s="140"/>
      <c r="G248" s="140"/>
    </row>
    <row r="249" spans="1:7" ht="12.75">
      <c r="A249" s="140"/>
      <c r="B249" s="140"/>
      <c r="C249" s="140"/>
      <c r="D249" s="140"/>
      <c r="E249" s="140"/>
      <c r="F249" s="140"/>
      <c r="G249" s="140"/>
    </row>
    <row r="250" spans="1:7" ht="12.75">
      <c r="A250" s="140"/>
      <c r="B250" s="140"/>
      <c r="C250" s="140"/>
      <c r="D250" s="140"/>
      <c r="E250" s="140"/>
      <c r="F250" s="140"/>
      <c r="G250" s="140"/>
    </row>
    <row r="251" spans="1:7" ht="12.75">
      <c r="A251" s="140"/>
      <c r="B251" s="140"/>
      <c r="C251" s="140"/>
      <c r="D251" s="140"/>
      <c r="E251" s="140"/>
      <c r="F251" s="140"/>
      <c r="G251" s="140"/>
    </row>
    <row r="252" spans="1:7" ht="12.75">
      <c r="A252" s="140"/>
      <c r="B252" s="140"/>
      <c r="C252" s="140"/>
      <c r="D252" s="140"/>
      <c r="E252" s="140"/>
      <c r="F252" s="140"/>
      <c r="G252" s="140"/>
    </row>
    <row r="253" spans="1:7" ht="12.75">
      <c r="A253" s="140"/>
      <c r="B253" s="140"/>
      <c r="C253" s="140"/>
      <c r="D253" s="140"/>
      <c r="E253" s="140"/>
      <c r="F253" s="140"/>
      <c r="G253" s="140"/>
    </row>
    <row r="254" spans="1:7" ht="12.75">
      <c r="A254" s="140"/>
      <c r="B254" s="140"/>
      <c r="C254" s="140"/>
      <c r="D254" s="140"/>
      <c r="E254" s="140"/>
      <c r="F254" s="140"/>
      <c r="G254" s="140"/>
    </row>
    <row r="255" spans="1:7" ht="12.75">
      <c r="A255" s="140"/>
      <c r="B255" s="140"/>
      <c r="C255" s="140"/>
      <c r="D255" s="140"/>
      <c r="E255" s="140"/>
      <c r="F255" s="140"/>
      <c r="G255" s="140"/>
    </row>
    <row r="256" spans="1:7" ht="12.75">
      <c r="A256" s="140"/>
      <c r="B256" s="140"/>
      <c r="C256" s="140"/>
      <c r="D256" s="140"/>
      <c r="E256" s="140"/>
      <c r="F256" s="140"/>
      <c r="G256" s="140"/>
    </row>
    <row r="257" spans="1:7" ht="12.75">
      <c r="A257" s="140"/>
      <c r="B257" s="140"/>
      <c r="C257" s="140"/>
      <c r="D257" s="140"/>
      <c r="E257" s="140"/>
      <c r="F257" s="140"/>
      <c r="G257" s="140"/>
    </row>
    <row r="258" spans="1:7" ht="12.75">
      <c r="A258" s="140"/>
      <c r="B258" s="140"/>
      <c r="C258" s="140"/>
      <c r="D258" s="140"/>
      <c r="E258" s="140"/>
      <c r="F258" s="140"/>
      <c r="G258" s="140"/>
    </row>
    <row r="259" spans="1:7" ht="12.75">
      <c r="A259" s="140"/>
      <c r="B259" s="140"/>
      <c r="C259" s="140"/>
      <c r="D259" s="140"/>
      <c r="E259" s="140"/>
      <c r="F259" s="140"/>
      <c r="G259" s="140"/>
    </row>
    <row r="260" spans="1:7" ht="12.75">
      <c r="A260" s="140"/>
      <c r="B260" s="140"/>
      <c r="C260" s="140"/>
      <c r="D260" s="140"/>
      <c r="E260" s="140"/>
      <c r="F260" s="140"/>
      <c r="G260" s="140"/>
    </row>
    <row r="261" spans="1:7" ht="12.75">
      <c r="A261" s="140"/>
      <c r="B261" s="140"/>
      <c r="C261" s="140"/>
      <c r="D261" s="140"/>
      <c r="E261" s="140"/>
      <c r="F261" s="140"/>
      <c r="G261" s="140"/>
    </row>
    <row r="262" spans="1:7" ht="12.75">
      <c r="A262" s="140"/>
      <c r="B262" s="140"/>
      <c r="C262" s="140"/>
      <c r="D262" s="140"/>
      <c r="E262" s="140"/>
      <c r="F262" s="140"/>
      <c r="G262" s="140"/>
    </row>
    <row r="263" spans="1:7" ht="12.75">
      <c r="A263" s="140"/>
      <c r="B263" s="140"/>
      <c r="C263" s="140"/>
      <c r="D263" s="140"/>
      <c r="E263" s="140"/>
      <c r="F263" s="140"/>
      <c r="G263" s="140"/>
    </row>
    <row r="264" spans="1:7" ht="12.75">
      <c r="A264" s="140"/>
      <c r="B264" s="140"/>
      <c r="C264" s="140"/>
      <c r="D264" s="140"/>
      <c r="E264" s="140"/>
      <c r="F264" s="140"/>
      <c r="G264" s="140"/>
    </row>
    <row r="265" spans="1:7" ht="12.75">
      <c r="A265" s="140"/>
      <c r="B265" s="140"/>
      <c r="C265" s="140"/>
      <c r="D265" s="140"/>
      <c r="E265" s="140"/>
      <c r="F265" s="140"/>
      <c r="G265" s="140"/>
    </row>
    <row r="266" spans="1:7" ht="12.75">
      <c r="A266" s="140"/>
      <c r="B266" s="140"/>
      <c r="C266" s="140"/>
      <c r="D266" s="140"/>
      <c r="E266" s="140"/>
      <c r="F266" s="140"/>
      <c r="G266" s="140"/>
    </row>
    <row r="267" spans="1:7" ht="12.75">
      <c r="A267" s="140"/>
      <c r="B267" s="140"/>
      <c r="C267" s="140"/>
      <c r="D267" s="140"/>
      <c r="E267" s="140"/>
      <c r="F267" s="140"/>
      <c r="G267" s="140"/>
    </row>
    <row r="268" spans="1:7" ht="12.75">
      <c r="A268" s="140"/>
      <c r="B268" s="140"/>
      <c r="C268" s="140"/>
      <c r="D268" s="140"/>
      <c r="E268" s="140"/>
      <c r="F268" s="140"/>
      <c r="G268" s="140"/>
    </row>
    <row r="269" spans="1:7" ht="12.75">
      <c r="A269" s="140"/>
      <c r="B269" s="140"/>
      <c r="C269" s="140"/>
      <c r="D269" s="140"/>
      <c r="E269" s="140"/>
      <c r="F269" s="140"/>
      <c r="G269" s="140"/>
    </row>
    <row r="270" spans="1:7" ht="12.75">
      <c r="A270" s="140"/>
      <c r="B270" s="140"/>
      <c r="C270" s="140"/>
      <c r="D270" s="140"/>
      <c r="E270" s="140"/>
      <c r="F270" s="140"/>
      <c r="G270" s="140"/>
    </row>
    <row r="271" spans="1:7" ht="12.75">
      <c r="A271" s="140"/>
      <c r="B271" s="140"/>
      <c r="C271" s="140"/>
      <c r="D271" s="140"/>
      <c r="E271" s="140"/>
      <c r="F271" s="140"/>
      <c r="G271" s="140"/>
    </row>
  </sheetData>
  <sheetProtection/>
  <mergeCells count="1">
    <mergeCell ref="A1:E2"/>
  </mergeCells>
  <printOptions/>
  <pageMargins left="0.75" right="0.34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2" width="19.50390625" style="0" customWidth="1"/>
    <col min="4" max="4" width="13.125" style="0" customWidth="1"/>
  </cols>
  <sheetData>
    <row r="1" spans="1:6" ht="12.75">
      <c r="A1" s="210" t="s">
        <v>267</v>
      </c>
      <c r="B1" s="211"/>
      <c r="C1" s="211"/>
      <c r="D1" s="211"/>
      <c r="E1" s="211"/>
      <c r="F1" s="211" t="s">
        <v>7</v>
      </c>
    </row>
    <row r="2" spans="1:6" ht="12.75">
      <c r="A2" s="210" t="s">
        <v>620</v>
      </c>
      <c r="B2" s="212"/>
      <c r="C2" s="212"/>
      <c r="D2" s="212"/>
      <c r="E2" s="212"/>
      <c r="F2" s="212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</row>
    <row r="5" spans="1:6" ht="12.75">
      <c r="A5" s="3"/>
      <c r="B5" s="3"/>
      <c r="C5" s="36" t="s">
        <v>2</v>
      </c>
      <c r="D5" s="36" t="s">
        <v>2</v>
      </c>
      <c r="E5" s="36" t="s">
        <v>2</v>
      </c>
      <c r="F5" s="36" t="s">
        <v>2</v>
      </c>
    </row>
    <row r="6" spans="1:6" ht="12.75">
      <c r="A6" s="3"/>
      <c r="B6" s="3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</row>
    <row r="7" spans="1:6" ht="12.75">
      <c r="A7" s="3"/>
      <c r="B7" s="3"/>
      <c r="C7" s="7" t="s">
        <v>3</v>
      </c>
      <c r="D7" s="36" t="s">
        <v>194</v>
      </c>
      <c r="E7" s="36" t="s">
        <v>191</v>
      </c>
      <c r="F7" s="36" t="s">
        <v>191</v>
      </c>
    </row>
    <row r="8" spans="1:6" ht="12.75">
      <c r="A8" s="5" t="s">
        <v>4</v>
      </c>
      <c r="B8" s="3"/>
      <c r="C8" s="3"/>
      <c r="D8" s="3"/>
      <c r="E8" s="3"/>
      <c r="F8" s="3"/>
    </row>
    <row r="9" spans="1:6" ht="12.75">
      <c r="A9" s="3">
        <v>511</v>
      </c>
      <c r="B9" s="3" t="s">
        <v>20</v>
      </c>
      <c r="C9" s="24" t="s">
        <v>7</v>
      </c>
      <c r="D9" s="161" t="s">
        <v>7</v>
      </c>
      <c r="E9" s="3" t="s">
        <v>7</v>
      </c>
      <c r="F9" s="161">
        <v>0</v>
      </c>
    </row>
    <row r="10" spans="1:6" ht="12.75">
      <c r="A10" s="3">
        <v>513</v>
      </c>
      <c r="B10" s="3" t="s">
        <v>22</v>
      </c>
      <c r="C10" s="24" t="s">
        <v>7</v>
      </c>
      <c r="D10" s="161" t="s">
        <v>7</v>
      </c>
      <c r="E10" s="3" t="s">
        <v>7</v>
      </c>
      <c r="F10" s="161">
        <v>0</v>
      </c>
    </row>
    <row r="11" spans="1:6" ht="12.75">
      <c r="A11" s="3">
        <v>514</v>
      </c>
      <c r="B11" s="3" t="s">
        <v>23</v>
      </c>
      <c r="C11" s="24" t="s">
        <v>7</v>
      </c>
      <c r="D11" s="161" t="s">
        <v>7</v>
      </c>
      <c r="E11" s="3" t="s">
        <v>7</v>
      </c>
      <c r="F11" s="161">
        <v>0</v>
      </c>
    </row>
    <row r="12" spans="1:6" ht="12.75">
      <c r="A12" s="3">
        <v>515</v>
      </c>
      <c r="B12" s="3" t="s">
        <v>270</v>
      </c>
      <c r="C12" s="24" t="s">
        <v>7</v>
      </c>
      <c r="D12" s="161" t="s">
        <v>7</v>
      </c>
      <c r="E12" s="3" t="s">
        <v>7</v>
      </c>
      <c r="F12" s="161">
        <v>0</v>
      </c>
    </row>
    <row r="13" spans="1:6" ht="12.75">
      <c r="A13" s="3">
        <v>521</v>
      </c>
      <c r="B13" s="3" t="s">
        <v>263</v>
      </c>
      <c r="C13" s="24" t="s">
        <v>7</v>
      </c>
      <c r="D13" s="161" t="s">
        <v>7</v>
      </c>
      <c r="E13" s="3" t="s">
        <v>7</v>
      </c>
      <c r="F13" s="161">
        <v>0</v>
      </c>
    </row>
    <row r="14" spans="1:6" ht="12.75">
      <c r="A14" s="3">
        <v>522</v>
      </c>
      <c r="B14" s="3" t="s">
        <v>219</v>
      </c>
      <c r="C14" s="24" t="s">
        <v>7</v>
      </c>
      <c r="D14" s="161" t="s">
        <v>7</v>
      </c>
      <c r="E14" s="3" t="s">
        <v>7</v>
      </c>
      <c r="F14" s="161">
        <v>0</v>
      </c>
    </row>
    <row r="15" spans="1:6" ht="12.75">
      <c r="A15" s="3">
        <v>523</v>
      </c>
      <c r="B15" s="3" t="s">
        <v>43</v>
      </c>
      <c r="C15" s="24" t="s">
        <v>7</v>
      </c>
      <c r="D15" s="161" t="s">
        <v>7</v>
      </c>
      <c r="E15" s="3" t="s">
        <v>7</v>
      </c>
      <c r="F15" s="161">
        <v>0</v>
      </c>
    </row>
    <row r="16" spans="1:6" ht="12.75">
      <c r="A16" s="3">
        <v>524</v>
      </c>
      <c r="B16" s="3" t="s">
        <v>266</v>
      </c>
      <c r="C16" s="24" t="s">
        <v>7</v>
      </c>
      <c r="D16" s="161" t="s">
        <v>7</v>
      </c>
      <c r="E16" s="3" t="s">
        <v>7</v>
      </c>
      <c r="F16" s="161">
        <v>0</v>
      </c>
    </row>
    <row r="17" spans="1:6" ht="12.75">
      <c r="A17" s="3">
        <v>525</v>
      </c>
      <c r="B17" s="3" t="s">
        <v>27</v>
      </c>
      <c r="C17" s="24" t="s">
        <v>7</v>
      </c>
      <c r="D17" s="161" t="s">
        <v>7</v>
      </c>
      <c r="E17" s="3" t="s">
        <v>7</v>
      </c>
      <c r="F17" s="161">
        <v>0</v>
      </c>
    </row>
    <row r="18" spans="1:6" ht="12.75">
      <c r="A18" s="3">
        <v>526</v>
      </c>
      <c r="B18" s="3" t="s">
        <v>36</v>
      </c>
      <c r="C18" s="24" t="s">
        <v>7</v>
      </c>
      <c r="D18" s="161" t="s">
        <v>7</v>
      </c>
      <c r="E18" s="3" t="s">
        <v>7</v>
      </c>
      <c r="F18" s="161">
        <v>0</v>
      </c>
    </row>
    <row r="19" spans="1:6" ht="12.75">
      <c r="A19" s="3">
        <v>532</v>
      </c>
      <c r="B19" s="3" t="s">
        <v>264</v>
      </c>
      <c r="C19" s="24" t="s">
        <v>7</v>
      </c>
      <c r="D19" s="161" t="s">
        <v>7</v>
      </c>
      <c r="E19" s="3" t="s">
        <v>7</v>
      </c>
      <c r="F19" s="161">
        <v>0</v>
      </c>
    </row>
    <row r="20" spans="1:6" ht="12.75">
      <c r="A20" s="3">
        <v>539</v>
      </c>
      <c r="B20" s="3" t="s">
        <v>317</v>
      </c>
      <c r="C20" s="24" t="s">
        <v>7</v>
      </c>
      <c r="D20" s="161" t="s">
        <v>7</v>
      </c>
      <c r="E20" s="3" t="s">
        <v>7</v>
      </c>
      <c r="F20" s="161">
        <v>0</v>
      </c>
    </row>
    <row r="21" spans="1:6" ht="12.75">
      <c r="A21" s="3">
        <v>554</v>
      </c>
      <c r="B21" s="3" t="s">
        <v>318</v>
      </c>
      <c r="C21" s="24" t="s">
        <v>7</v>
      </c>
      <c r="D21" s="161" t="s">
        <v>7</v>
      </c>
      <c r="E21" s="3" t="s">
        <v>7</v>
      </c>
      <c r="F21" s="161">
        <v>0</v>
      </c>
    </row>
    <row r="22" spans="1:6" ht="12.75">
      <c r="A22" s="3">
        <v>538</v>
      </c>
      <c r="B22" s="3" t="s">
        <v>587</v>
      </c>
      <c r="C22" s="24" t="s">
        <v>7</v>
      </c>
      <c r="D22" s="161" t="s">
        <v>7</v>
      </c>
      <c r="E22" s="3">
        <v>0</v>
      </c>
      <c r="F22" s="161">
        <v>0</v>
      </c>
    </row>
    <row r="23" spans="1:6" ht="12.75">
      <c r="A23" s="3">
        <v>553</v>
      </c>
      <c r="B23" s="3" t="s">
        <v>482</v>
      </c>
      <c r="C23" s="24" t="s">
        <v>7</v>
      </c>
      <c r="D23" s="161" t="s">
        <v>7</v>
      </c>
      <c r="E23" s="3">
        <v>0</v>
      </c>
      <c r="F23" s="161">
        <v>0</v>
      </c>
    </row>
    <row r="24" spans="1:6" ht="12.75">
      <c r="A24" s="86">
        <v>581</v>
      </c>
      <c r="B24" s="3" t="s">
        <v>319</v>
      </c>
      <c r="C24" s="24" t="s">
        <v>7</v>
      </c>
      <c r="D24" s="161" t="s">
        <v>7</v>
      </c>
      <c r="E24" s="3" t="s">
        <v>7</v>
      </c>
      <c r="F24" s="161">
        <v>0</v>
      </c>
    </row>
    <row r="25" spans="1:6" ht="12.75">
      <c r="A25" s="3"/>
      <c r="B25" s="3"/>
      <c r="C25" s="3"/>
      <c r="D25" s="22"/>
      <c r="E25" s="3"/>
      <c r="F25" s="22"/>
    </row>
    <row r="26" spans="1:6" ht="15">
      <c r="A26" s="5" t="s">
        <v>30</v>
      </c>
      <c r="B26" s="5"/>
      <c r="C26" s="25">
        <f>SUM(C9:C25)</f>
        <v>0</v>
      </c>
      <c r="D26" s="25">
        <f>SUM(D9:D25)</f>
        <v>0</v>
      </c>
      <c r="E26" s="25">
        <f>SUM(E9:E25)</f>
        <v>0</v>
      </c>
      <c r="F26" s="25">
        <f>SUM(F9:F25)</f>
        <v>0</v>
      </c>
    </row>
    <row r="27" spans="1:6" ht="12.75">
      <c r="A27" s="21"/>
      <c r="B27" s="21"/>
      <c r="C27" s="21"/>
      <c r="D27" s="21"/>
      <c r="E27" s="21"/>
      <c r="F27" s="21"/>
    </row>
    <row r="28" spans="1:6" ht="12.75">
      <c r="A28" s="21"/>
      <c r="B28" s="21"/>
      <c r="C28" s="21"/>
      <c r="D28" s="21"/>
      <c r="E28" s="21"/>
      <c r="F28" s="21"/>
    </row>
    <row r="29" spans="1:6" ht="12.75">
      <c r="A29" s="21"/>
      <c r="B29" s="21"/>
      <c r="C29" s="21" t="s">
        <v>320</v>
      </c>
      <c r="D29" s="21"/>
      <c r="E29" s="21" t="s">
        <v>7</v>
      </c>
      <c r="F29" s="21" t="s">
        <v>7</v>
      </c>
    </row>
    <row r="30" spans="1:6" ht="12.75">
      <c r="A30" s="21"/>
      <c r="B30" s="21"/>
      <c r="C30" s="21" t="s">
        <v>596</v>
      </c>
      <c r="D30" s="21"/>
      <c r="E30" s="21"/>
      <c r="F30" s="21"/>
    </row>
    <row r="31" spans="1:6" ht="12.75">
      <c r="A31" s="21"/>
      <c r="B31" s="22"/>
      <c r="C31" s="21" t="s">
        <v>621</v>
      </c>
      <c r="D31" s="21"/>
      <c r="E31" s="21"/>
      <c r="F31" s="21"/>
    </row>
    <row r="32" spans="1:6" ht="12.75">
      <c r="A32" s="21"/>
      <c r="B32" s="22"/>
      <c r="C32" s="21"/>
      <c r="D32" s="21"/>
      <c r="E32" s="21"/>
      <c r="F32" s="21"/>
    </row>
    <row r="33" spans="1:6" ht="12.75">
      <c r="A33" s="70" t="s">
        <v>283</v>
      </c>
      <c r="B33" s="21"/>
      <c r="C33" s="21"/>
      <c r="D33" s="21"/>
      <c r="E33" s="21"/>
      <c r="F33" s="21"/>
    </row>
    <row r="34" spans="1:6" ht="12.75">
      <c r="A34" s="70"/>
      <c r="B34" s="21"/>
      <c r="C34" s="21"/>
      <c r="D34" s="21"/>
      <c r="E34" s="21"/>
      <c r="F34" s="21"/>
    </row>
    <row r="35" spans="1:6" ht="12.75">
      <c r="A35" s="23">
        <v>511</v>
      </c>
      <c r="B35" s="23" t="s">
        <v>20</v>
      </c>
      <c r="C35" s="21"/>
      <c r="D35" s="21"/>
      <c r="E35" s="21"/>
      <c r="F35" s="23" t="e">
        <f>SUM(E40,#REF!,#REF!,#REF!,)</f>
        <v>#REF!</v>
      </c>
    </row>
    <row r="36" spans="1:6" ht="12.75">
      <c r="A36" s="22"/>
      <c r="B36" s="21" t="s">
        <v>622</v>
      </c>
      <c r="C36" s="21"/>
      <c r="D36" s="21"/>
      <c r="E36" s="21"/>
      <c r="F36" s="21"/>
    </row>
    <row r="37" spans="1:6" ht="12.75">
      <c r="A37" s="22"/>
      <c r="B37" s="21" t="s">
        <v>321</v>
      </c>
      <c r="C37" s="21"/>
      <c r="D37" s="21" t="s">
        <v>7</v>
      </c>
      <c r="E37" s="21">
        <v>40089</v>
      </c>
      <c r="F37" s="21"/>
    </row>
    <row r="38" spans="1:6" ht="12.75">
      <c r="A38" s="22"/>
      <c r="B38" s="22" t="s">
        <v>581</v>
      </c>
      <c r="C38" s="21"/>
      <c r="D38" s="21"/>
      <c r="E38" s="21">
        <v>0</v>
      </c>
      <c r="F38" s="21"/>
    </row>
    <row r="39" spans="1:6" ht="12.75">
      <c r="A39" s="22"/>
      <c r="B39" s="22" t="s">
        <v>616</v>
      </c>
      <c r="C39" s="21"/>
      <c r="D39" s="21"/>
      <c r="E39" s="32">
        <v>1002</v>
      </c>
      <c r="F39" s="21"/>
    </row>
    <row r="40" spans="1:6" ht="12.75">
      <c r="A40" s="22"/>
      <c r="B40" s="21"/>
      <c r="C40" s="21"/>
      <c r="D40" s="21"/>
      <c r="E40" s="51">
        <f>SUM(E37:E39)</f>
        <v>41091</v>
      </c>
      <c r="F40" s="21"/>
    </row>
    <row r="41" spans="1:6" ht="12.75">
      <c r="A41" s="21"/>
      <c r="B41" s="21"/>
      <c r="C41" s="52"/>
      <c r="D41" s="21"/>
      <c r="E41" s="21"/>
      <c r="F41" s="21"/>
    </row>
    <row r="42" spans="1:6" ht="12.75">
      <c r="A42" s="23">
        <v>511</v>
      </c>
      <c r="B42" s="23" t="s">
        <v>21</v>
      </c>
      <c r="C42" s="23"/>
      <c r="D42" s="23"/>
      <c r="E42" s="23" t="s">
        <v>7</v>
      </c>
      <c r="F42" s="23">
        <f>SUM(E43+E45)</f>
        <v>5000</v>
      </c>
    </row>
    <row r="43" spans="1:6" ht="12.75">
      <c r="A43" s="21"/>
      <c r="B43" s="21" t="s">
        <v>33</v>
      </c>
      <c r="C43" s="21"/>
      <c r="D43" s="21"/>
      <c r="E43" s="21">
        <v>2000</v>
      </c>
      <c r="F43" s="21"/>
    </row>
    <row r="44" spans="1:6" ht="12.75">
      <c r="A44" s="21"/>
      <c r="B44" s="21" t="s">
        <v>7</v>
      </c>
      <c r="C44" s="21"/>
      <c r="D44" s="21" t="s">
        <v>7</v>
      </c>
      <c r="E44" s="21" t="s">
        <v>7</v>
      </c>
      <c r="F44" s="21"/>
    </row>
    <row r="45" spans="1:6" ht="12.75">
      <c r="A45" s="21"/>
      <c r="B45" s="21" t="s">
        <v>34</v>
      </c>
      <c r="C45" s="21"/>
      <c r="D45" s="21"/>
      <c r="E45" s="21">
        <v>3000</v>
      </c>
      <c r="F45" s="21"/>
    </row>
    <row r="46" spans="1:6" ht="12.75">
      <c r="A46" s="21"/>
      <c r="B46" s="21" t="s">
        <v>7</v>
      </c>
      <c r="C46" s="21"/>
      <c r="D46" s="21" t="s">
        <v>7</v>
      </c>
      <c r="E46" s="21" t="s">
        <v>7</v>
      </c>
      <c r="F46" s="21"/>
    </row>
    <row r="47" spans="1:6" ht="12.75">
      <c r="A47" s="21"/>
      <c r="B47" s="21"/>
      <c r="C47" s="21"/>
      <c r="D47" s="21"/>
      <c r="E47" s="21"/>
      <c r="F47" s="21"/>
    </row>
    <row r="48" spans="1:6" ht="12.75">
      <c r="A48" s="23">
        <v>513</v>
      </c>
      <c r="B48" s="23" t="s">
        <v>22</v>
      </c>
      <c r="C48" s="23"/>
      <c r="D48" s="23"/>
      <c r="E48" s="23"/>
      <c r="F48" s="23">
        <f>SUM(E49:E49)</f>
        <v>29251</v>
      </c>
    </row>
    <row r="49" spans="1:6" ht="12.75">
      <c r="A49" s="21"/>
      <c r="B49" s="21" t="s">
        <v>7</v>
      </c>
      <c r="C49" s="21"/>
      <c r="D49" s="21"/>
      <c r="E49" s="21">
        <v>29251</v>
      </c>
      <c r="F49" s="21"/>
    </row>
    <row r="50" spans="1:6" ht="12.75">
      <c r="A50" s="21"/>
      <c r="B50" s="22"/>
      <c r="C50" s="22"/>
      <c r="D50" s="22"/>
      <c r="E50" s="22"/>
      <c r="F50" s="21"/>
    </row>
    <row r="51" spans="1:6" ht="12.75">
      <c r="A51" s="127">
        <v>514</v>
      </c>
      <c r="B51" s="23" t="s">
        <v>23</v>
      </c>
      <c r="C51" s="23"/>
      <c r="D51" s="23"/>
      <c r="E51" s="23" t="s">
        <v>7</v>
      </c>
      <c r="F51" s="23">
        <f>E52</f>
        <v>15895</v>
      </c>
    </row>
    <row r="52" spans="1:6" ht="12.75">
      <c r="A52" s="21"/>
      <c r="B52" s="172" t="s">
        <v>613</v>
      </c>
      <c r="C52" s="21"/>
      <c r="D52" s="21" t="s">
        <v>7</v>
      </c>
      <c r="E52" s="22">
        <v>15895</v>
      </c>
      <c r="F52" s="21"/>
    </row>
    <row r="53" spans="1:6" ht="12.75">
      <c r="A53" s="21"/>
      <c r="B53" s="21"/>
      <c r="C53" s="21"/>
      <c r="D53" s="21"/>
      <c r="E53" s="21"/>
      <c r="F53" s="21"/>
    </row>
    <row r="54" spans="1:6" ht="12.75">
      <c r="A54" s="23">
        <v>515</v>
      </c>
      <c r="B54" s="23" t="s">
        <v>270</v>
      </c>
      <c r="C54" s="23"/>
      <c r="D54" s="23"/>
      <c r="E54" s="23"/>
      <c r="F54" s="23">
        <f>SUM(E55:E55)</f>
        <v>4864</v>
      </c>
    </row>
    <row r="55" spans="1:6" ht="12.75">
      <c r="A55" s="21"/>
      <c r="B55" s="21" t="s">
        <v>7</v>
      </c>
      <c r="C55" s="21"/>
      <c r="D55" s="21" t="s">
        <v>7</v>
      </c>
      <c r="E55" s="21">
        <v>4864</v>
      </c>
      <c r="F55" s="21"/>
    </row>
    <row r="56" spans="1:6" ht="12.75">
      <c r="A56" s="21"/>
      <c r="B56" s="21"/>
      <c r="C56" s="21"/>
      <c r="D56" s="21"/>
      <c r="E56" s="21"/>
      <c r="F56" s="21"/>
    </row>
    <row r="57" spans="1:6" ht="12.75">
      <c r="A57" s="23">
        <v>521</v>
      </c>
      <c r="B57" s="23" t="s">
        <v>263</v>
      </c>
      <c r="C57" s="23"/>
      <c r="D57" s="23"/>
      <c r="E57" s="23"/>
      <c r="F57" s="23">
        <f>SUM(E58:E61)</f>
        <v>25000</v>
      </c>
    </row>
    <row r="58" spans="1:6" ht="12.75">
      <c r="A58" s="21"/>
      <c r="B58" s="21" t="s">
        <v>322</v>
      </c>
      <c r="C58" s="21"/>
      <c r="D58" s="21"/>
      <c r="E58" s="21">
        <v>25000</v>
      </c>
      <c r="F58" s="21"/>
    </row>
    <row r="59" spans="1:6" ht="12.75">
      <c r="A59" s="21"/>
      <c r="B59" s="21" t="s">
        <v>192</v>
      </c>
      <c r="C59" s="21"/>
      <c r="D59" s="21"/>
      <c r="E59" s="21"/>
      <c r="F59" s="21"/>
    </row>
    <row r="60" spans="1:6" ht="12.75">
      <c r="A60" s="21"/>
      <c r="B60" s="21" t="s">
        <v>193</v>
      </c>
      <c r="C60" s="21"/>
      <c r="D60" s="21"/>
      <c r="E60" s="21"/>
      <c r="F60" s="21"/>
    </row>
    <row r="61" spans="1:6" ht="12.75">
      <c r="A61" s="21"/>
      <c r="B61" s="21" t="s">
        <v>323</v>
      </c>
      <c r="C61" s="21"/>
      <c r="D61" s="21"/>
      <c r="E61" s="21"/>
      <c r="F61" s="21"/>
    </row>
    <row r="62" spans="1:6" ht="12.75">
      <c r="A62" s="21"/>
      <c r="B62" s="21"/>
      <c r="C62" s="21"/>
      <c r="D62" s="21"/>
      <c r="E62" s="21"/>
      <c r="F62" s="21"/>
    </row>
    <row r="63" spans="1:6" ht="12.75">
      <c r="A63" s="23">
        <v>522</v>
      </c>
      <c r="B63" s="23" t="s">
        <v>219</v>
      </c>
      <c r="C63" s="23"/>
      <c r="D63" s="23"/>
      <c r="E63" s="23" t="s">
        <v>7</v>
      </c>
      <c r="F63" s="23">
        <v>360</v>
      </c>
    </row>
    <row r="64" spans="1:6" ht="12.75">
      <c r="A64" s="21"/>
      <c r="B64" s="21"/>
      <c r="C64" s="21"/>
      <c r="D64" s="21"/>
      <c r="E64" s="21">
        <v>360</v>
      </c>
      <c r="F64" s="21"/>
    </row>
    <row r="65" spans="1:6" ht="12.75">
      <c r="A65" s="21"/>
      <c r="B65" s="21"/>
      <c r="C65" s="21"/>
      <c r="D65" s="21"/>
      <c r="E65" s="21"/>
      <c r="F65" s="21"/>
    </row>
    <row r="66" spans="1:6" ht="12.75">
      <c r="A66" s="23">
        <v>523</v>
      </c>
      <c r="B66" s="23" t="s">
        <v>43</v>
      </c>
      <c r="C66" s="23"/>
      <c r="D66" s="23"/>
      <c r="E66" s="23"/>
      <c r="F66" s="23">
        <f>SUM(E67:E67)</f>
        <v>25</v>
      </c>
    </row>
    <row r="67" spans="1:6" ht="12.75">
      <c r="A67" s="21"/>
      <c r="B67" s="21" t="s">
        <v>317</v>
      </c>
      <c r="C67" s="21"/>
      <c r="D67" s="21"/>
      <c r="E67" s="21">
        <v>25</v>
      </c>
      <c r="F67" s="21"/>
    </row>
    <row r="68" spans="1:6" ht="12.75">
      <c r="A68" s="21"/>
      <c r="B68" s="21"/>
      <c r="C68" s="21"/>
      <c r="D68" s="21"/>
      <c r="E68" s="21"/>
      <c r="F68" s="21"/>
    </row>
    <row r="69" spans="1:6" ht="12.75">
      <c r="A69" s="23">
        <v>524</v>
      </c>
      <c r="B69" s="23" t="s">
        <v>266</v>
      </c>
      <c r="C69" s="23"/>
      <c r="D69" s="23"/>
      <c r="E69" s="23"/>
      <c r="F69" s="23">
        <f>SUM(E70:E70)</f>
        <v>3000</v>
      </c>
    </row>
    <row r="70" spans="1:6" ht="12.75">
      <c r="A70" s="21"/>
      <c r="B70" s="21" t="s">
        <v>324</v>
      </c>
      <c r="C70" s="21"/>
      <c r="D70" s="21"/>
      <c r="E70" s="21">
        <v>3000</v>
      </c>
      <c r="F70" s="21"/>
    </row>
    <row r="71" spans="1:6" ht="12.75">
      <c r="A71" s="21"/>
      <c r="B71" s="21"/>
      <c r="C71" s="21"/>
      <c r="D71" s="21"/>
      <c r="E71" s="21"/>
      <c r="F71" s="21"/>
    </row>
    <row r="72" spans="1:6" ht="12.75">
      <c r="A72" s="23">
        <v>525</v>
      </c>
      <c r="B72" s="23" t="s">
        <v>27</v>
      </c>
      <c r="C72" s="23"/>
      <c r="D72" s="23"/>
      <c r="E72" s="23"/>
      <c r="F72" s="23">
        <f>SUM(E73:E73)</f>
        <v>2869</v>
      </c>
    </row>
    <row r="73" spans="1:6" ht="12.75">
      <c r="A73" s="21"/>
      <c r="B73" s="21" t="s">
        <v>325</v>
      </c>
      <c r="C73" s="21"/>
      <c r="D73" s="21" t="s">
        <v>0</v>
      </c>
      <c r="E73" s="21">
        <v>2869</v>
      </c>
      <c r="F73" s="21"/>
    </row>
    <row r="74" spans="1:6" ht="12.75">
      <c r="A74" s="21"/>
      <c r="B74" s="21"/>
      <c r="C74" s="21"/>
      <c r="D74" s="21"/>
      <c r="E74" s="21"/>
      <c r="F74" s="21"/>
    </row>
    <row r="75" spans="1:6" ht="12.75">
      <c r="A75" s="23">
        <v>526</v>
      </c>
      <c r="B75" s="23" t="s">
        <v>36</v>
      </c>
      <c r="C75" s="23"/>
      <c r="D75" s="23"/>
      <c r="E75" s="23"/>
      <c r="F75" s="23">
        <f>SUM(E76:E76)</f>
        <v>5165</v>
      </c>
    </row>
    <row r="76" spans="1:6" ht="12.75">
      <c r="A76" s="21"/>
      <c r="B76" s="21" t="s">
        <v>326</v>
      </c>
      <c r="C76" s="21"/>
      <c r="D76" s="21"/>
      <c r="E76" s="21">
        <v>5165</v>
      </c>
      <c r="F76" s="21"/>
    </row>
    <row r="77" spans="1:6" ht="12.75">
      <c r="A77" s="21"/>
      <c r="B77" s="21"/>
      <c r="C77" s="21"/>
      <c r="D77" s="21"/>
      <c r="E77" s="21"/>
      <c r="F77" s="21"/>
    </row>
    <row r="78" spans="1:6" ht="12.75">
      <c r="A78" s="23">
        <v>532</v>
      </c>
      <c r="B78" s="23" t="s">
        <v>264</v>
      </c>
      <c r="C78" s="23"/>
      <c r="D78" s="23"/>
      <c r="E78" s="23"/>
      <c r="F78" s="23">
        <f>+E79</f>
        <v>29000</v>
      </c>
    </row>
    <row r="79" spans="1:6" ht="12.75">
      <c r="A79" s="21"/>
      <c r="B79" s="21" t="s">
        <v>327</v>
      </c>
      <c r="C79" s="21"/>
      <c r="D79" s="21"/>
      <c r="E79" s="21">
        <v>29000</v>
      </c>
      <c r="F79" s="21"/>
    </row>
    <row r="80" spans="1:6" ht="12.75">
      <c r="A80" s="21"/>
      <c r="B80" s="21"/>
      <c r="C80" s="21"/>
      <c r="D80" s="21"/>
      <c r="E80" s="21"/>
      <c r="F80" s="21"/>
    </row>
    <row r="81" spans="1:6" ht="12.75">
      <c r="A81" s="23">
        <v>539</v>
      </c>
      <c r="B81" s="23" t="s">
        <v>317</v>
      </c>
      <c r="C81" s="23"/>
      <c r="D81" s="23"/>
      <c r="E81" s="23"/>
      <c r="F81" s="23">
        <f>SUM(E82:E82)</f>
        <v>1500</v>
      </c>
    </row>
    <row r="82" spans="1:6" ht="12.75">
      <c r="A82" s="21"/>
      <c r="B82" s="21" t="s">
        <v>7</v>
      </c>
      <c r="C82" s="21"/>
      <c r="D82" s="21"/>
      <c r="E82" s="21">
        <v>1500</v>
      </c>
      <c r="F82" s="21" t="s">
        <v>7</v>
      </c>
    </row>
    <row r="83" spans="1:6" ht="12.75">
      <c r="A83" s="21"/>
      <c r="B83" s="21"/>
      <c r="C83" s="21"/>
      <c r="D83" s="21"/>
      <c r="E83" s="21"/>
      <c r="F83" s="21"/>
    </row>
    <row r="84" spans="1:6" ht="12.75">
      <c r="A84" s="23">
        <v>554</v>
      </c>
      <c r="B84" s="23" t="s">
        <v>328</v>
      </c>
      <c r="C84" s="23"/>
      <c r="D84" s="23"/>
      <c r="E84" s="23" t="s">
        <v>7</v>
      </c>
      <c r="F84" s="23">
        <v>1500</v>
      </c>
    </row>
    <row r="85" spans="1:6" ht="12.75">
      <c r="A85" s="21"/>
      <c r="B85" s="21" t="s">
        <v>7</v>
      </c>
      <c r="C85" s="21"/>
      <c r="D85" s="21"/>
      <c r="E85" s="21">
        <v>1500</v>
      </c>
      <c r="F85" s="21"/>
    </row>
    <row r="86" spans="1:6" ht="12.75">
      <c r="A86" s="21"/>
      <c r="B86" s="21"/>
      <c r="C86" s="21"/>
      <c r="D86" s="21"/>
      <c r="E86" s="21" t="s">
        <v>7</v>
      </c>
      <c r="F86" s="22"/>
    </row>
    <row r="87" spans="1:6" ht="12.75">
      <c r="A87" s="23">
        <v>581</v>
      </c>
      <c r="B87" s="23" t="s">
        <v>329</v>
      </c>
      <c r="C87" s="23"/>
      <c r="D87" s="23"/>
      <c r="E87" s="23"/>
      <c r="F87" s="23" t="s">
        <v>7</v>
      </c>
    </row>
    <row r="88" spans="1:6" ht="12.75">
      <c r="A88" s="21"/>
      <c r="B88" s="21" t="s">
        <v>505</v>
      </c>
      <c r="C88" s="21"/>
      <c r="D88" s="21"/>
      <c r="E88" s="21" t="s">
        <v>7</v>
      </c>
      <c r="F88" s="21"/>
    </row>
    <row r="89" spans="1:6" ht="12.75">
      <c r="A89" s="21"/>
      <c r="B89" s="21" t="s">
        <v>503</v>
      </c>
      <c r="C89" s="21"/>
      <c r="D89" s="21"/>
      <c r="E89" s="21" t="s">
        <v>7</v>
      </c>
      <c r="F89" s="21"/>
    </row>
    <row r="90" spans="1:6" ht="12.75">
      <c r="A90" s="22" t="s">
        <v>311</v>
      </c>
      <c r="B90" s="22"/>
      <c r="C90" s="22"/>
      <c r="D90" s="22"/>
      <c r="E90" s="22"/>
      <c r="F90" s="53" t="e">
        <f>SUM(F35:F89)</f>
        <v>#REF!</v>
      </c>
    </row>
    <row r="91" spans="1:6" ht="12.75">
      <c r="A91" s="22"/>
      <c r="B91" s="22"/>
      <c r="C91" s="22"/>
      <c r="D91" s="22"/>
      <c r="E91" s="22"/>
      <c r="F91" s="22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5"/>
  <sheetViews>
    <sheetView showGridLines="0" zoomScaleSheetLayoutView="100" zoomScalePageLayoutView="0" workbookViewId="0" topLeftCell="A1">
      <pane xSplit="2" ySplit="7" topLeftCell="C68" activePane="bottomRight" state="frozen"/>
      <selection pane="topLeft" activeCell="I104" sqref="I104"/>
      <selection pane="topRight" activeCell="I104" sqref="I104"/>
      <selection pane="bottomLeft" activeCell="I104" sqref="I104"/>
      <selection pane="bottomRight" activeCell="F13" sqref="F13"/>
    </sheetView>
  </sheetViews>
  <sheetFormatPr defaultColWidth="9.00390625" defaultRowHeight="12.75"/>
  <cols>
    <col min="1" max="1" width="4.625" style="22" customWidth="1"/>
    <col min="2" max="2" width="20.25390625" style="22" customWidth="1"/>
    <col min="3" max="6" width="11.625" style="22" customWidth="1"/>
    <col min="7" max="16384" width="9.00390625" style="22" customWidth="1"/>
  </cols>
  <sheetData>
    <row r="1" spans="1:6" ht="12.75">
      <c r="A1" s="210" t="s">
        <v>267</v>
      </c>
      <c r="B1" s="211"/>
      <c r="C1" s="211"/>
      <c r="D1" s="211"/>
      <c r="E1" s="211"/>
      <c r="F1" s="211" t="s">
        <v>7</v>
      </c>
    </row>
    <row r="2" spans="1:6" ht="12.75">
      <c r="A2" s="210" t="s">
        <v>441</v>
      </c>
      <c r="B2" s="212"/>
      <c r="C2" s="212"/>
      <c r="D2" s="212"/>
      <c r="E2" s="212"/>
      <c r="F2" s="212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</row>
    <row r="5" spans="1:6" ht="12.75">
      <c r="A5" s="3"/>
      <c r="B5" s="3"/>
      <c r="C5" s="36" t="s">
        <v>2</v>
      </c>
      <c r="D5" s="36" t="s">
        <v>2</v>
      </c>
      <c r="E5" s="36" t="s">
        <v>2</v>
      </c>
      <c r="F5" s="36" t="s">
        <v>2</v>
      </c>
    </row>
    <row r="6" spans="1:6" ht="12.75">
      <c r="A6" s="3"/>
      <c r="B6" s="3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</row>
    <row r="7" spans="1:6" ht="12.75">
      <c r="A7" s="3"/>
      <c r="B7" s="3"/>
      <c r="C7" s="7" t="s">
        <v>3</v>
      </c>
      <c r="D7" s="36" t="s">
        <v>194</v>
      </c>
      <c r="E7" s="36" t="s">
        <v>191</v>
      </c>
      <c r="F7" s="36" t="s">
        <v>191</v>
      </c>
    </row>
    <row r="8" spans="1:6" ht="12.75">
      <c r="A8" s="5" t="s">
        <v>4</v>
      </c>
      <c r="B8" s="3"/>
      <c r="C8" s="3"/>
      <c r="D8" s="3"/>
      <c r="E8" s="3"/>
      <c r="F8" s="3"/>
    </row>
    <row r="9" spans="1:6" ht="12.75">
      <c r="A9" s="3">
        <v>511</v>
      </c>
      <c r="B9" s="3" t="s">
        <v>20</v>
      </c>
      <c r="C9" s="24">
        <v>82582.44</v>
      </c>
      <c r="D9" s="161">
        <v>90920.16</v>
      </c>
      <c r="E9" s="161">
        <v>97340</v>
      </c>
      <c r="F9" s="161">
        <v>106256</v>
      </c>
    </row>
    <row r="10" spans="1:7" ht="12.75">
      <c r="A10" s="3">
        <v>513</v>
      </c>
      <c r="B10" s="3" t="s">
        <v>22</v>
      </c>
      <c r="C10" s="24">
        <v>26625.6</v>
      </c>
      <c r="D10" s="161">
        <v>33081.68</v>
      </c>
      <c r="E10" s="161">
        <v>27040</v>
      </c>
      <c r="F10" s="161">
        <v>32552</v>
      </c>
      <c r="G10" s="22" t="s">
        <v>7</v>
      </c>
    </row>
    <row r="11" spans="1:7" ht="12.75">
      <c r="A11" s="3">
        <v>514</v>
      </c>
      <c r="B11" s="3" t="s">
        <v>23</v>
      </c>
      <c r="C11" s="24">
        <v>7663.1</v>
      </c>
      <c r="D11" s="161">
        <v>8310.51</v>
      </c>
      <c r="E11" s="161">
        <v>9734</v>
      </c>
      <c r="F11" s="161">
        <v>9563</v>
      </c>
      <c r="G11" s="22" t="s">
        <v>7</v>
      </c>
    </row>
    <row r="12" spans="1:7" ht="12.75">
      <c r="A12" s="3">
        <v>515</v>
      </c>
      <c r="B12" s="3" t="s">
        <v>270</v>
      </c>
      <c r="C12" s="24">
        <v>3081.28</v>
      </c>
      <c r="D12" s="161">
        <v>3372.24</v>
      </c>
      <c r="E12" s="161">
        <v>3306</v>
      </c>
      <c r="F12" s="161">
        <v>3452</v>
      </c>
      <c r="G12" s="22" t="s">
        <v>7</v>
      </c>
    </row>
    <row r="13" spans="1:7" ht="12.75">
      <c r="A13" s="3">
        <v>521</v>
      </c>
      <c r="B13" s="3" t="s">
        <v>263</v>
      </c>
      <c r="C13" s="24">
        <v>30652.5</v>
      </c>
      <c r="D13" s="161">
        <v>25420.83</v>
      </c>
      <c r="E13" s="161">
        <v>33000</v>
      </c>
      <c r="F13" s="161">
        <v>40000</v>
      </c>
      <c r="G13" s="22" t="s">
        <v>7</v>
      </c>
    </row>
    <row r="14" spans="1:7" ht="12.75">
      <c r="A14" s="3">
        <v>522</v>
      </c>
      <c r="B14" s="3" t="s">
        <v>219</v>
      </c>
      <c r="C14" s="24">
        <v>866.29</v>
      </c>
      <c r="D14" s="161">
        <v>571.05</v>
      </c>
      <c r="E14" s="161">
        <v>1142</v>
      </c>
      <c r="F14" s="161">
        <v>611</v>
      </c>
      <c r="G14" s="22" t="s">
        <v>7</v>
      </c>
    </row>
    <row r="15" spans="1:6" ht="12.75">
      <c r="A15" s="3">
        <v>523</v>
      </c>
      <c r="B15" s="3" t="s">
        <v>43</v>
      </c>
      <c r="C15" s="24">
        <v>0</v>
      </c>
      <c r="D15" s="161">
        <v>71</v>
      </c>
      <c r="E15" s="161">
        <v>100</v>
      </c>
      <c r="F15" s="161">
        <v>100</v>
      </c>
    </row>
    <row r="16" spans="1:7" ht="12.75">
      <c r="A16" s="3">
        <v>524</v>
      </c>
      <c r="B16" s="3" t="s">
        <v>266</v>
      </c>
      <c r="C16" s="24">
        <v>2226.53</v>
      </c>
      <c r="D16" s="161">
        <v>2398.57</v>
      </c>
      <c r="E16" s="161">
        <v>2000</v>
      </c>
      <c r="F16" s="161">
        <v>3000</v>
      </c>
      <c r="G16" s="22" t="s">
        <v>7</v>
      </c>
    </row>
    <row r="17" spans="1:7" ht="12.75">
      <c r="A17" s="3">
        <v>525</v>
      </c>
      <c r="B17" s="3" t="s">
        <v>27</v>
      </c>
      <c r="C17" s="24">
        <v>2426.19</v>
      </c>
      <c r="D17" s="161">
        <v>2189.23</v>
      </c>
      <c r="E17" s="161">
        <v>2669</v>
      </c>
      <c r="F17" s="161">
        <v>2408</v>
      </c>
      <c r="G17" s="22" t="s">
        <v>7</v>
      </c>
    </row>
    <row r="18" spans="1:7" ht="12.75">
      <c r="A18" s="3">
        <v>526</v>
      </c>
      <c r="B18" s="3" t="s">
        <v>36</v>
      </c>
      <c r="C18" s="24">
        <v>4183.29</v>
      </c>
      <c r="D18" s="161">
        <v>4393.45</v>
      </c>
      <c r="E18" s="161">
        <v>4459</v>
      </c>
      <c r="F18" s="161">
        <v>4284</v>
      </c>
      <c r="G18" s="22" t="s">
        <v>7</v>
      </c>
    </row>
    <row r="19" spans="1:7" ht="12.75">
      <c r="A19" s="3">
        <v>532</v>
      </c>
      <c r="B19" s="3" t="s">
        <v>264</v>
      </c>
      <c r="C19" s="24">
        <v>30437.45</v>
      </c>
      <c r="D19" s="161">
        <v>25102.92</v>
      </c>
      <c r="E19" s="161">
        <v>30000</v>
      </c>
      <c r="F19" s="161">
        <v>30000</v>
      </c>
      <c r="G19" s="22" t="s">
        <v>7</v>
      </c>
    </row>
    <row r="20" spans="1:7" ht="12.75">
      <c r="A20" s="3">
        <v>539</v>
      </c>
      <c r="B20" s="3" t="s">
        <v>317</v>
      </c>
      <c r="C20" s="24">
        <v>170</v>
      </c>
      <c r="D20" s="161">
        <v>345</v>
      </c>
      <c r="E20" s="161">
        <v>1000</v>
      </c>
      <c r="F20" s="161">
        <v>500</v>
      </c>
      <c r="G20" s="22" t="s">
        <v>7</v>
      </c>
    </row>
    <row r="21" spans="1:7" ht="12.75">
      <c r="A21" s="3">
        <v>554</v>
      </c>
      <c r="B21" s="3" t="s">
        <v>318</v>
      </c>
      <c r="C21" s="24">
        <v>2704.62</v>
      </c>
      <c r="D21" s="161">
        <v>1338.98</v>
      </c>
      <c r="E21" s="161">
        <v>2500</v>
      </c>
      <c r="F21" s="161">
        <v>7500</v>
      </c>
      <c r="G21" s="22" t="s">
        <v>7</v>
      </c>
    </row>
    <row r="22" spans="1:7" ht="12.75">
      <c r="A22" s="3">
        <v>538</v>
      </c>
      <c r="B22" s="3" t="s">
        <v>587</v>
      </c>
      <c r="C22" s="24">
        <v>1521.46</v>
      </c>
      <c r="D22" s="161">
        <v>1297.85</v>
      </c>
      <c r="E22" s="161">
        <v>2500</v>
      </c>
      <c r="F22" s="161">
        <v>2000</v>
      </c>
      <c r="G22" s="22" t="s">
        <v>7</v>
      </c>
    </row>
    <row r="23" spans="1:6" ht="12.75">
      <c r="A23" s="3">
        <v>553</v>
      </c>
      <c r="B23" s="3" t="s">
        <v>482</v>
      </c>
      <c r="C23" s="24">
        <v>0</v>
      </c>
      <c r="D23" s="161">
        <v>0</v>
      </c>
      <c r="E23" s="161">
        <v>0</v>
      </c>
      <c r="F23" s="161">
        <v>0</v>
      </c>
    </row>
    <row r="24" spans="1:7" ht="12.75">
      <c r="A24" s="86">
        <v>581</v>
      </c>
      <c r="B24" s="3" t="s">
        <v>319</v>
      </c>
      <c r="C24" s="24">
        <v>0</v>
      </c>
      <c r="D24" s="161">
        <v>0</v>
      </c>
      <c r="E24" s="161">
        <v>0</v>
      </c>
      <c r="F24" s="161">
        <v>0</v>
      </c>
      <c r="G24" s="22" t="s">
        <v>7</v>
      </c>
    </row>
    <row r="25" spans="1:5" ht="12.75">
      <c r="A25" s="3">
        <v>531</v>
      </c>
      <c r="B25" s="3" t="s">
        <v>664</v>
      </c>
      <c r="C25" s="3">
        <v>41241</v>
      </c>
      <c r="D25" s="22">
        <v>2331</v>
      </c>
      <c r="E25" s="3">
        <v>0</v>
      </c>
    </row>
    <row r="26" spans="1:9" ht="18" customHeight="1">
      <c r="A26" s="5" t="s">
        <v>30</v>
      </c>
      <c r="B26" s="5"/>
      <c r="C26" s="25">
        <f>SUM(C9:C25)</f>
        <v>236381.75000000003</v>
      </c>
      <c r="D26" s="25">
        <f>SUM(D9:D25)</f>
        <v>201144.47000000003</v>
      </c>
      <c r="E26" s="25">
        <f>SUM(E9:E25)</f>
        <v>216790</v>
      </c>
      <c r="F26" s="25">
        <f>SUM(F9:F25)</f>
        <v>242226</v>
      </c>
      <c r="G26" s="53" t="s">
        <v>7</v>
      </c>
      <c r="H26" s="22">
        <f>SUM(D26-E26)</f>
        <v>-15645.52999999997</v>
      </c>
      <c r="I26" s="22" t="s">
        <v>7</v>
      </c>
    </row>
    <row r="27" spans="1:6" ht="12.75">
      <c r="A27" s="21"/>
      <c r="B27" s="21"/>
      <c r="C27" s="21"/>
      <c r="D27" s="21"/>
      <c r="E27" s="21"/>
      <c r="F27" s="21"/>
    </row>
    <row r="28" spans="1:6" ht="12.75" hidden="1">
      <c r="A28" s="21"/>
      <c r="B28" s="21"/>
      <c r="C28" s="21"/>
      <c r="D28" s="21"/>
      <c r="E28" s="21"/>
      <c r="F28" s="21"/>
    </row>
    <row r="29" spans="1:6" ht="12.75">
      <c r="A29" s="21"/>
      <c r="B29" s="21"/>
      <c r="C29" s="21" t="s">
        <v>320</v>
      </c>
      <c r="D29" s="21"/>
      <c r="E29" s="21" t="s">
        <v>7</v>
      </c>
      <c r="F29" s="21" t="s">
        <v>7</v>
      </c>
    </row>
    <row r="30" spans="1:6" ht="12.75">
      <c r="A30" s="21"/>
      <c r="B30" s="21"/>
      <c r="C30" s="21" t="s">
        <v>656</v>
      </c>
      <c r="D30" s="21"/>
      <c r="E30" s="21"/>
      <c r="F30" s="21"/>
    </row>
    <row r="31" spans="1:6" ht="12.75">
      <c r="A31" s="21"/>
      <c r="C31" s="21" t="s">
        <v>443</v>
      </c>
      <c r="D31" s="21"/>
      <c r="E31" s="21"/>
      <c r="F31" s="21"/>
    </row>
    <row r="32" spans="1:6" ht="12.75">
      <c r="A32" s="21"/>
      <c r="C32" s="21"/>
      <c r="D32" s="21"/>
      <c r="E32" s="21"/>
      <c r="F32" s="21"/>
    </row>
    <row r="33" spans="1:6" ht="12.75">
      <c r="A33" s="70" t="s">
        <v>283</v>
      </c>
      <c r="B33" s="21"/>
      <c r="C33" s="21"/>
      <c r="D33" s="21"/>
      <c r="E33" s="21"/>
      <c r="F33" s="21"/>
    </row>
    <row r="34" spans="1:6" ht="12.75">
      <c r="A34" s="70"/>
      <c r="B34" s="21"/>
      <c r="C34" s="21"/>
      <c r="D34" s="21"/>
      <c r="E34" s="21"/>
      <c r="F34" s="21"/>
    </row>
    <row r="35" spans="1:6" ht="12.75">
      <c r="A35" s="23">
        <v>511</v>
      </c>
      <c r="B35" s="23" t="s">
        <v>20</v>
      </c>
      <c r="C35" s="21"/>
      <c r="D35" s="21"/>
      <c r="E35" s="21"/>
      <c r="F35" s="23">
        <f>SUM(E40,E42,E49,E55,)</f>
        <v>89256.24</v>
      </c>
    </row>
    <row r="36" spans="2:6" ht="12.75">
      <c r="B36" s="21" t="s">
        <v>56</v>
      </c>
      <c r="C36" s="21"/>
      <c r="D36" s="21"/>
      <c r="E36" s="21"/>
      <c r="F36" s="21"/>
    </row>
    <row r="37" spans="2:6" ht="12.75">
      <c r="B37" s="21" t="s">
        <v>321</v>
      </c>
      <c r="C37" s="21"/>
      <c r="D37" s="21" t="s">
        <v>7</v>
      </c>
      <c r="E37" s="21">
        <v>39861</v>
      </c>
      <c r="F37" s="21"/>
    </row>
    <row r="38" spans="2:6" ht="12.75">
      <c r="B38" s="22" t="s">
        <v>581</v>
      </c>
      <c r="C38" s="21"/>
      <c r="D38" s="21"/>
      <c r="E38" s="21" t="s">
        <v>7</v>
      </c>
      <c r="F38" s="21"/>
    </row>
    <row r="39" spans="2:6" ht="12.75">
      <c r="B39" s="22" t="s">
        <v>719</v>
      </c>
      <c r="C39" s="21"/>
      <c r="D39" s="21"/>
      <c r="E39" s="32">
        <v>1594.44</v>
      </c>
      <c r="F39" s="21"/>
    </row>
    <row r="40" spans="2:8" ht="12.75">
      <c r="B40" s="21"/>
      <c r="C40" s="21"/>
      <c r="D40" s="21"/>
      <c r="E40" s="51">
        <f>SUM(E37:E39)</f>
        <v>41455.44</v>
      </c>
      <c r="F40" s="21"/>
      <c r="H40" s="22">
        <f>E40*0.05</f>
        <v>2072.7720000000004</v>
      </c>
    </row>
    <row r="41" spans="2:6" ht="12.75">
      <c r="B41" s="21"/>
      <c r="C41" s="21"/>
      <c r="D41" s="21"/>
      <c r="E41" s="51"/>
      <c r="F41" s="21"/>
    </row>
    <row r="42" spans="2:6" ht="12.75">
      <c r="B42" s="21" t="s">
        <v>610</v>
      </c>
      <c r="C42" s="21"/>
      <c r="D42" s="21"/>
      <c r="E42" s="51">
        <v>0</v>
      </c>
      <c r="F42" s="21"/>
    </row>
    <row r="43" spans="2:6" ht="12.75">
      <c r="B43" s="21"/>
      <c r="C43" s="21"/>
      <c r="D43" s="21"/>
      <c r="E43" s="51"/>
      <c r="F43" s="21"/>
    </row>
    <row r="44" spans="2:6" ht="12.75">
      <c r="B44" s="21"/>
      <c r="C44" s="21"/>
      <c r="D44" s="21"/>
      <c r="E44" s="51"/>
      <c r="F44" s="21"/>
    </row>
    <row r="46" spans="2:6" ht="12.75">
      <c r="B46" s="21" t="s">
        <v>695</v>
      </c>
      <c r="C46" s="21"/>
      <c r="D46" s="21"/>
      <c r="E46" s="21"/>
      <c r="F46" s="21"/>
    </row>
    <row r="47" spans="2:6" ht="12.75">
      <c r="B47" s="21" t="s">
        <v>321</v>
      </c>
      <c r="C47" s="21"/>
      <c r="D47" s="21" t="s">
        <v>7</v>
      </c>
      <c r="E47" s="21">
        <v>27580.8</v>
      </c>
      <c r="F47" s="21"/>
    </row>
    <row r="48" spans="2:6" ht="12.75">
      <c r="B48" s="21" t="s">
        <v>686</v>
      </c>
      <c r="C48" s="21"/>
      <c r="D48" s="21"/>
      <c r="E48" s="32">
        <v>0</v>
      </c>
      <c r="F48" s="21"/>
    </row>
    <row r="49" spans="1:8" ht="12.75">
      <c r="A49" s="21"/>
      <c r="C49" s="21"/>
      <c r="D49" s="21"/>
      <c r="E49" s="51">
        <f>SUM(E47:E48)</f>
        <v>27580.8</v>
      </c>
      <c r="F49" s="21"/>
      <c r="H49" s="22">
        <f>E49*0.05</f>
        <v>1379.04</v>
      </c>
    </row>
    <row r="50" spans="1:6" ht="12.75">
      <c r="A50" s="21"/>
      <c r="C50" s="21"/>
      <c r="D50" s="21"/>
      <c r="E50" s="51"/>
      <c r="F50" s="21"/>
    </row>
    <row r="51" spans="1:6" ht="12.75">
      <c r="A51" s="21"/>
      <c r="B51" s="22" t="s">
        <v>642</v>
      </c>
      <c r="C51" s="21"/>
      <c r="D51" s="21"/>
      <c r="E51" s="51" t="s">
        <v>7</v>
      </c>
      <c r="F51" s="21"/>
    </row>
    <row r="52" spans="1:6" ht="12.75">
      <c r="A52" s="21"/>
      <c r="B52" s="22" t="s">
        <v>592</v>
      </c>
      <c r="C52" s="21"/>
      <c r="D52" s="21"/>
      <c r="E52" s="21">
        <v>18720</v>
      </c>
      <c r="F52" s="21"/>
    </row>
    <row r="53" spans="1:6" ht="12.75">
      <c r="A53" s="21"/>
      <c r="B53" s="22" t="s">
        <v>686</v>
      </c>
      <c r="C53" s="21"/>
      <c r="D53" s="21"/>
      <c r="E53" s="21">
        <v>0</v>
      </c>
      <c r="F53" s="21"/>
    </row>
    <row r="54" spans="1:6" ht="12.75">
      <c r="A54" s="21"/>
      <c r="B54" s="22" t="s">
        <v>687</v>
      </c>
      <c r="C54" s="21"/>
      <c r="D54" s="21"/>
      <c r="E54" s="51">
        <v>1500</v>
      </c>
      <c r="F54" s="21"/>
    </row>
    <row r="55" spans="1:6" ht="12.75">
      <c r="A55" s="21"/>
      <c r="C55" s="21"/>
      <c r="D55" s="21"/>
      <c r="E55" s="51">
        <f>SUM(E52:E54)</f>
        <v>20220</v>
      </c>
      <c r="F55" s="21"/>
    </row>
    <row r="56" spans="1:6" ht="12.75">
      <c r="A56" s="21"/>
      <c r="B56" s="21"/>
      <c r="C56" s="52"/>
      <c r="D56" s="21"/>
      <c r="E56" s="21"/>
      <c r="F56" s="21"/>
    </row>
    <row r="57" spans="1:6" s="53" customFormat="1" ht="12.75">
      <c r="A57" s="23">
        <v>511</v>
      </c>
      <c r="B57" s="23" t="s">
        <v>21</v>
      </c>
      <c r="C57" s="23"/>
      <c r="D57" s="23"/>
      <c r="E57" s="23" t="s">
        <v>7</v>
      </c>
      <c r="F57" s="23">
        <f>SUM(E58+E60)</f>
        <v>17000</v>
      </c>
    </row>
    <row r="58" spans="1:6" ht="12.75">
      <c r="A58" s="21"/>
      <c r="B58" s="21" t="s">
        <v>33</v>
      </c>
      <c r="C58" s="21"/>
      <c r="D58" s="21"/>
      <c r="E58" s="21">
        <v>5000</v>
      </c>
      <c r="F58" s="21"/>
    </row>
    <row r="59" spans="1:6" ht="12.75">
      <c r="A59" s="21"/>
      <c r="B59" s="21" t="s">
        <v>7</v>
      </c>
      <c r="C59" s="21"/>
      <c r="D59" s="21" t="s">
        <v>7</v>
      </c>
      <c r="E59" s="21" t="s">
        <v>7</v>
      </c>
      <c r="F59" s="21"/>
    </row>
    <row r="60" spans="1:6" ht="12.75">
      <c r="A60" s="21"/>
      <c r="B60" s="21" t="s">
        <v>34</v>
      </c>
      <c r="C60" s="21"/>
      <c r="D60" s="21"/>
      <c r="E60" s="21">
        <v>12000</v>
      </c>
      <c r="F60" s="21"/>
    </row>
    <row r="61" spans="1:6" ht="12.75">
      <c r="A61" s="21"/>
      <c r="B61" s="21" t="s">
        <v>7</v>
      </c>
      <c r="C61" s="21"/>
      <c r="D61" s="21" t="s">
        <v>7</v>
      </c>
      <c r="E61" s="21" t="s">
        <v>7</v>
      </c>
      <c r="F61" s="21"/>
    </row>
    <row r="62" spans="1:6" ht="12.75">
      <c r="A62" s="21"/>
      <c r="B62" s="21"/>
      <c r="C62" s="21"/>
      <c r="D62" s="21"/>
      <c r="E62" s="21"/>
      <c r="F62" s="21"/>
    </row>
    <row r="63" spans="1:6" s="53" customFormat="1" ht="12.75">
      <c r="A63" s="23">
        <v>513</v>
      </c>
      <c r="B63" s="23" t="s">
        <v>22</v>
      </c>
      <c r="C63" s="23"/>
      <c r="D63" s="23"/>
      <c r="E63" s="23"/>
      <c r="F63" s="23">
        <f>SUM(E64:E64)</f>
        <v>32551.68</v>
      </c>
    </row>
    <row r="64" spans="1:6" ht="12.75">
      <c r="A64" s="21"/>
      <c r="B64" s="21" t="s">
        <v>667</v>
      </c>
      <c r="C64" s="21"/>
      <c r="D64" s="21"/>
      <c r="E64" s="21">
        <v>32551.68</v>
      </c>
      <c r="F64" s="21"/>
    </row>
    <row r="65" spans="1:6" ht="12.75">
      <c r="A65" s="21"/>
      <c r="F65" s="21"/>
    </row>
    <row r="66" spans="1:6" s="53" customFormat="1" ht="12.75">
      <c r="A66" s="127">
        <v>514</v>
      </c>
      <c r="B66" s="23" t="s">
        <v>23</v>
      </c>
      <c r="C66" s="23"/>
      <c r="D66" s="23"/>
      <c r="E66" s="23" t="s">
        <v>7</v>
      </c>
      <c r="F66" s="23">
        <f>E67</f>
        <v>9563.04</v>
      </c>
    </row>
    <row r="67" spans="1:6" ht="12.75">
      <c r="A67" s="21"/>
      <c r="B67" s="172" t="s">
        <v>693</v>
      </c>
      <c r="C67" s="21"/>
      <c r="D67" s="21" t="s">
        <v>7</v>
      </c>
      <c r="E67" s="22">
        <v>9563.04</v>
      </c>
      <c r="F67" s="21"/>
    </row>
    <row r="68" spans="1:6" ht="21" customHeight="1">
      <c r="A68" s="21"/>
      <c r="B68" s="21"/>
      <c r="C68" s="21"/>
      <c r="D68" s="21"/>
      <c r="E68" s="21"/>
      <c r="F68" s="21"/>
    </row>
    <row r="69" spans="1:6" s="53" customFormat="1" ht="12.75">
      <c r="A69" s="23">
        <v>515</v>
      </c>
      <c r="B69" s="23" t="s">
        <v>270</v>
      </c>
      <c r="C69" s="23"/>
      <c r="D69" s="23"/>
      <c r="E69" s="23"/>
      <c r="F69" s="23">
        <v>3452</v>
      </c>
    </row>
    <row r="70" spans="1:6" ht="12.75">
      <c r="A70" s="21"/>
      <c r="B70" s="21" t="s">
        <v>7</v>
      </c>
      <c r="C70" s="21"/>
      <c r="D70" s="21" t="s">
        <v>7</v>
      </c>
      <c r="E70" s="21">
        <v>3451.8</v>
      </c>
      <c r="F70" s="21"/>
    </row>
    <row r="71" spans="1:6" ht="12.75">
      <c r="A71" s="21"/>
      <c r="B71" s="21"/>
      <c r="C71" s="21"/>
      <c r="D71" s="21"/>
      <c r="E71" s="21"/>
      <c r="F71" s="21"/>
    </row>
    <row r="72" spans="1:6" s="53" customFormat="1" ht="12.75">
      <c r="A72" s="23">
        <v>521</v>
      </c>
      <c r="B72" s="23" t="s">
        <v>263</v>
      </c>
      <c r="C72" s="23"/>
      <c r="D72" s="23"/>
      <c r="E72" s="23"/>
      <c r="F72" s="23">
        <f>SUM(E73:E76)</f>
        <v>40000</v>
      </c>
    </row>
    <row r="73" spans="1:6" ht="12.75">
      <c r="A73" s="21"/>
      <c r="B73" s="21" t="s">
        <v>322</v>
      </c>
      <c r="C73" s="21"/>
      <c r="D73" s="21"/>
      <c r="E73" s="21">
        <v>20000</v>
      </c>
      <c r="F73" s="21"/>
    </row>
    <row r="74" spans="1:6" ht="12.75">
      <c r="A74" s="21"/>
      <c r="B74" s="21" t="s">
        <v>192</v>
      </c>
      <c r="C74" s="21"/>
      <c r="D74" s="21"/>
      <c r="E74" s="21">
        <v>15000</v>
      </c>
      <c r="F74" s="21"/>
    </row>
    <row r="75" spans="1:6" ht="12.75">
      <c r="A75" s="21"/>
      <c r="B75" s="21" t="s">
        <v>193</v>
      </c>
      <c r="C75" s="21"/>
      <c r="D75" s="21"/>
      <c r="E75" s="21">
        <v>0</v>
      </c>
      <c r="F75" s="21"/>
    </row>
    <row r="76" spans="1:6" ht="12.75">
      <c r="A76" s="21"/>
      <c r="B76" s="21" t="s">
        <v>589</v>
      </c>
      <c r="C76" s="21"/>
      <c r="D76" s="21"/>
      <c r="E76" s="21">
        <v>5000</v>
      </c>
      <c r="F76" s="21"/>
    </row>
    <row r="77" spans="1:6" ht="12.75">
      <c r="A77" s="21"/>
      <c r="B77" s="21"/>
      <c r="C77" s="21"/>
      <c r="D77" s="21"/>
      <c r="E77" s="21"/>
      <c r="F77" s="21"/>
    </row>
    <row r="78" spans="1:6" s="53" customFormat="1" ht="12.75">
      <c r="A78" s="23">
        <v>522</v>
      </c>
      <c r="B78" s="23" t="s">
        <v>219</v>
      </c>
      <c r="C78" s="23"/>
      <c r="D78" s="23"/>
      <c r="E78" s="23">
        <v>611</v>
      </c>
      <c r="F78" s="23">
        <v>611</v>
      </c>
    </row>
    <row r="79" spans="1:6" ht="12.75">
      <c r="A79" s="21"/>
      <c r="B79" s="21"/>
      <c r="C79" s="21"/>
      <c r="D79" s="21"/>
      <c r="E79" s="21" t="s">
        <v>7</v>
      </c>
      <c r="F79" s="21"/>
    </row>
    <row r="80" spans="1:6" ht="12.75">
      <c r="A80" s="21"/>
      <c r="B80" s="21"/>
      <c r="C80" s="21"/>
      <c r="D80" s="21"/>
      <c r="E80" s="21" t="s">
        <v>7</v>
      </c>
      <c r="F80" s="21"/>
    </row>
    <row r="81" spans="1:6" s="53" customFormat="1" ht="12.75">
      <c r="A81" s="23">
        <v>523</v>
      </c>
      <c r="B81" s="23" t="s">
        <v>43</v>
      </c>
      <c r="C81" s="23"/>
      <c r="D81" s="23"/>
      <c r="E81" s="23"/>
      <c r="F81" s="23">
        <f>SUM(E82:E82)</f>
        <v>100</v>
      </c>
    </row>
    <row r="82" spans="1:6" ht="12.75">
      <c r="A82" s="21"/>
      <c r="B82" s="21" t="s">
        <v>317</v>
      </c>
      <c r="C82" s="21"/>
      <c r="D82" s="21"/>
      <c r="E82" s="21">
        <v>100</v>
      </c>
      <c r="F82" s="21"/>
    </row>
    <row r="83" spans="1:6" ht="12.75">
      <c r="A83" s="21"/>
      <c r="B83" s="21"/>
      <c r="C83" s="21"/>
      <c r="D83" s="21"/>
      <c r="E83" s="21"/>
      <c r="F83" s="21"/>
    </row>
    <row r="84" spans="1:6" s="53" customFormat="1" ht="12.75">
      <c r="A84" s="23">
        <v>524</v>
      </c>
      <c r="B84" s="23" t="s">
        <v>266</v>
      </c>
      <c r="C84" s="23"/>
      <c r="D84" s="23"/>
      <c r="E84" s="23"/>
      <c r="F84" s="23">
        <f>SUM(E85:E85)</f>
        <v>3000</v>
      </c>
    </row>
    <row r="85" spans="1:6" ht="12.75">
      <c r="A85" s="21"/>
      <c r="B85" s="21" t="s">
        <v>324</v>
      </c>
      <c r="C85" s="21"/>
      <c r="D85" s="21"/>
      <c r="E85" s="21">
        <v>3000</v>
      </c>
      <c r="F85" s="21"/>
    </row>
    <row r="86" spans="1:6" ht="12.75">
      <c r="A86" s="21"/>
      <c r="B86" s="21"/>
      <c r="C86" s="21"/>
      <c r="D86" s="21"/>
      <c r="E86" s="21"/>
      <c r="F86" s="21"/>
    </row>
    <row r="87" spans="1:6" s="53" customFormat="1" ht="12.75">
      <c r="A87" s="23">
        <v>525</v>
      </c>
      <c r="B87" s="23" t="s">
        <v>27</v>
      </c>
      <c r="C87" s="23"/>
      <c r="D87" s="23"/>
      <c r="E87" s="23"/>
      <c r="F87" s="23">
        <f>SUM(E88:E88)</f>
        <v>2408</v>
      </c>
    </row>
    <row r="88" spans="1:6" ht="12.75">
      <c r="A88" s="21"/>
      <c r="B88" s="21" t="s">
        <v>325</v>
      </c>
      <c r="C88" s="21"/>
      <c r="D88" s="21" t="s">
        <v>0</v>
      </c>
      <c r="E88" s="21">
        <v>2408</v>
      </c>
      <c r="F88" s="21"/>
    </row>
    <row r="89" spans="1:6" ht="12.75">
      <c r="A89" s="21"/>
      <c r="B89" s="21"/>
      <c r="C89" s="21"/>
      <c r="D89" s="21"/>
      <c r="E89" s="21"/>
      <c r="F89" s="21"/>
    </row>
    <row r="90" spans="1:6" s="53" customFormat="1" ht="12.75">
      <c r="A90" s="23">
        <v>526</v>
      </c>
      <c r="B90" s="23" t="s">
        <v>36</v>
      </c>
      <c r="C90" s="23"/>
      <c r="D90" s="23"/>
      <c r="E90" s="23"/>
      <c r="F90" s="23">
        <f>SUM(E91:E91)</f>
        <v>4284</v>
      </c>
    </row>
    <row r="91" spans="1:6" ht="12.75">
      <c r="A91" s="21"/>
      <c r="B91" s="21" t="s">
        <v>326</v>
      </c>
      <c r="C91" s="21"/>
      <c r="D91" s="21"/>
      <c r="E91" s="21">
        <v>4284</v>
      </c>
      <c r="F91" s="21"/>
    </row>
    <row r="92" spans="1:6" ht="12.75">
      <c r="A92" s="21"/>
      <c r="B92" s="21"/>
      <c r="C92" s="21"/>
      <c r="D92" s="21"/>
      <c r="E92" s="21"/>
      <c r="F92" s="21"/>
    </row>
    <row r="93" spans="1:6" s="53" customFormat="1" ht="12.75">
      <c r="A93" s="23">
        <v>532</v>
      </c>
      <c r="B93" s="23" t="s">
        <v>264</v>
      </c>
      <c r="C93" s="23"/>
      <c r="D93" s="23"/>
      <c r="E93" s="23"/>
      <c r="F93" s="23">
        <f>+E94</f>
        <v>30000</v>
      </c>
    </row>
    <row r="94" spans="1:6" ht="12.75">
      <c r="A94" s="21"/>
      <c r="B94" s="21" t="s">
        <v>327</v>
      </c>
      <c r="C94" s="21"/>
      <c r="D94" s="21"/>
      <c r="E94" s="21">
        <v>30000</v>
      </c>
      <c r="F94" s="21"/>
    </row>
    <row r="95" spans="1:6" ht="12.75">
      <c r="A95" s="21"/>
      <c r="B95" s="21"/>
      <c r="C95" s="21"/>
      <c r="D95" s="21"/>
      <c r="E95" s="21"/>
      <c r="F95" s="21"/>
    </row>
    <row r="96" spans="1:6" s="53" customFormat="1" ht="12.75">
      <c r="A96" s="23">
        <v>539</v>
      </c>
      <c r="B96" s="23" t="s">
        <v>317</v>
      </c>
      <c r="C96" s="23"/>
      <c r="D96" s="23"/>
      <c r="E96" s="23"/>
      <c r="F96" s="23">
        <f>SUM(E97:E97)</f>
        <v>500</v>
      </c>
    </row>
    <row r="97" spans="1:6" ht="12.75">
      <c r="A97" s="21"/>
      <c r="B97" s="21" t="s">
        <v>7</v>
      </c>
      <c r="C97" s="21"/>
      <c r="D97" s="21"/>
      <c r="E97" s="21">
        <v>500</v>
      </c>
      <c r="F97" s="21" t="s">
        <v>7</v>
      </c>
    </row>
    <row r="98" spans="1:6" ht="12.75">
      <c r="A98" s="21"/>
      <c r="B98" s="21"/>
      <c r="C98" s="21"/>
      <c r="D98" s="21"/>
      <c r="E98" s="21"/>
      <c r="F98" s="21"/>
    </row>
    <row r="99" spans="1:6" s="53" customFormat="1" ht="12.75">
      <c r="A99" s="23">
        <v>554</v>
      </c>
      <c r="B99" s="23" t="s">
        <v>328</v>
      </c>
      <c r="C99" s="23"/>
      <c r="D99" s="23"/>
      <c r="E99" s="23">
        <v>7500</v>
      </c>
      <c r="F99" s="23">
        <v>7500</v>
      </c>
    </row>
    <row r="100" spans="1:6" ht="12.75">
      <c r="A100" s="21"/>
      <c r="B100" s="21" t="s">
        <v>7</v>
      </c>
      <c r="C100" s="21"/>
      <c r="D100" s="21"/>
      <c r="E100" s="21" t="s">
        <v>7</v>
      </c>
      <c r="F100" s="21"/>
    </row>
    <row r="101" spans="1:5" ht="12.75">
      <c r="A101" s="21"/>
      <c r="B101" s="21"/>
      <c r="C101" s="21"/>
      <c r="D101" s="21"/>
      <c r="E101" s="21" t="s">
        <v>7</v>
      </c>
    </row>
    <row r="102" spans="1:6" s="53" customFormat="1" ht="12.75">
      <c r="A102" s="23">
        <v>538</v>
      </c>
      <c r="B102" s="23" t="s">
        <v>587</v>
      </c>
      <c r="C102" s="23"/>
      <c r="D102" s="23"/>
      <c r="E102" s="23"/>
      <c r="F102" s="23" t="s">
        <v>7</v>
      </c>
    </row>
    <row r="103" spans="1:6" ht="12.75">
      <c r="A103" s="21"/>
      <c r="B103" s="21" t="s">
        <v>7</v>
      </c>
      <c r="C103" s="21"/>
      <c r="D103" s="21"/>
      <c r="E103" s="21">
        <v>2000</v>
      </c>
      <c r="F103" s="23">
        <v>2000</v>
      </c>
    </row>
    <row r="104" spans="1:6" ht="12.75">
      <c r="A104" s="21"/>
      <c r="B104" s="21" t="s">
        <v>7</v>
      </c>
      <c r="C104" s="21"/>
      <c r="D104" s="21"/>
      <c r="E104" s="21" t="s">
        <v>7</v>
      </c>
      <c r="F104" s="21" t="s">
        <v>7</v>
      </c>
    </row>
    <row r="105" spans="1:6" ht="12.75">
      <c r="A105" s="22" t="s">
        <v>311</v>
      </c>
      <c r="F105" s="53">
        <f>SUM(F35:F104)</f>
        <v>242225.96000000002</v>
      </c>
    </row>
  </sheetData>
  <sheetProtection/>
  <mergeCells count="2">
    <mergeCell ref="A1:F1"/>
    <mergeCell ref="A2:F2"/>
  </mergeCells>
  <printOptions/>
  <pageMargins left="0.7" right="0.7" top="0.8" bottom="0.6" header="0.5" footer="0.5"/>
  <pageSetup horizontalDpi="300" verticalDpi="300" orientation="portrait" r:id="rId1"/>
  <headerFooter alignWithMargins="0">
    <oddFooter>&amp;CPage &amp;P
&amp;R&amp;A</oddFooter>
  </headerFooter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9"/>
  <sheetViews>
    <sheetView showGridLines="0" zoomScaleSheetLayoutView="75" workbookViewId="0" topLeftCell="A67">
      <selection activeCell="D26" sqref="D26"/>
    </sheetView>
  </sheetViews>
  <sheetFormatPr defaultColWidth="9.00390625" defaultRowHeight="12.75"/>
  <cols>
    <col min="1" max="1" width="4.625" style="22" customWidth="1"/>
    <col min="2" max="2" width="20.50390625" style="22" customWidth="1"/>
    <col min="3" max="6" width="11.625" style="22" customWidth="1"/>
    <col min="7" max="16384" width="9.00390625" style="22" customWidth="1"/>
  </cols>
  <sheetData>
    <row r="1" spans="1:6" ht="12.75">
      <c r="A1" s="210" t="s">
        <v>267</v>
      </c>
      <c r="B1" s="211"/>
      <c r="C1" s="211"/>
      <c r="D1" s="211"/>
      <c r="E1" s="211"/>
      <c r="F1" s="211"/>
    </row>
    <row r="2" spans="1:6" ht="12.75">
      <c r="A2" s="210" t="s">
        <v>450</v>
      </c>
      <c r="B2" s="212"/>
      <c r="C2" s="212"/>
      <c r="D2" s="212"/>
      <c r="E2" s="212"/>
      <c r="F2" s="212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</row>
    <row r="5" spans="1:6" ht="12.75">
      <c r="A5" s="3"/>
      <c r="B5" s="3"/>
      <c r="C5" s="36" t="s">
        <v>2</v>
      </c>
      <c r="D5" s="36" t="s">
        <v>2</v>
      </c>
      <c r="E5" s="36" t="s">
        <v>2</v>
      </c>
      <c r="F5" s="36" t="s">
        <v>2</v>
      </c>
    </row>
    <row r="6" spans="1:6" ht="12.75">
      <c r="A6" s="3"/>
      <c r="B6" s="3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</row>
    <row r="7" spans="1:6" ht="12.75">
      <c r="A7" s="3"/>
      <c r="B7" s="3"/>
      <c r="C7" s="7" t="s">
        <v>3</v>
      </c>
      <c r="D7" s="36" t="s">
        <v>194</v>
      </c>
      <c r="E7" s="36" t="s">
        <v>191</v>
      </c>
      <c r="F7" s="36" t="s">
        <v>191</v>
      </c>
    </row>
    <row r="8" spans="1:6" ht="12.75">
      <c r="A8" s="3"/>
      <c r="B8" s="3"/>
      <c r="C8" s="3"/>
      <c r="D8" s="3"/>
      <c r="E8" s="3"/>
      <c r="F8" s="3"/>
    </row>
    <row r="9" spans="1:6" ht="12.75">
      <c r="A9" s="5" t="s">
        <v>4</v>
      </c>
      <c r="B9" s="5"/>
      <c r="C9" s="24"/>
      <c r="D9" s="3"/>
      <c r="E9" s="3"/>
      <c r="F9" s="3"/>
    </row>
    <row r="10" spans="1:7" ht="12.75">
      <c r="A10" s="3">
        <v>511</v>
      </c>
      <c r="B10" s="3" t="s">
        <v>20</v>
      </c>
      <c r="C10" s="24">
        <v>124188.87</v>
      </c>
      <c r="D10" s="161">
        <v>133793.55</v>
      </c>
      <c r="E10" s="161">
        <v>123739</v>
      </c>
      <c r="F10" s="161">
        <v>128825</v>
      </c>
      <c r="G10" s="22" t="s">
        <v>7</v>
      </c>
    </row>
    <row r="11" spans="1:7" ht="12.75">
      <c r="A11" s="3">
        <v>513</v>
      </c>
      <c r="B11" s="3" t="s">
        <v>22</v>
      </c>
      <c r="C11" s="24">
        <v>16818.84</v>
      </c>
      <c r="D11" s="161">
        <v>18960.14</v>
      </c>
      <c r="E11" s="161">
        <v>14980</v>
      </c>
      <c r="F11" s="161">
        <v>18090</v>
      </c>
      <c r="G11" s="22" t="s">
        <v>7</v>
      </c>
    </row>
    <row r="12" spans="1:7" ht="12.75">
      <c r="A12" s="3">
        <v>514</v>
      </c>
      <c r="B12" s="3" t="s">
        <v>23</v>
      </c>
      <c r="C12" s="24">
        <v>9732.57</v>
      </c>
      <c r="D12" s="161">
        <v>10505.8</v>
      </c>
      <c r="E12" s="161">
        <v>9466</v>
      </c>
      <c r="F12" s="161">
        <v>9855.11</v>
      </c>
      <c r="G12" s="22" t="s">
        <v>7</v>
      </c>
    </row>
    <row r="13" spans="1:7" ht="12.75">
      <c r="A13" s="3">
        <v>515</v>
      </c>
      <c r="B13" s="3" t="s">
        <v>332</v>
      </c>
      <c r="C13" s="24">
        <v>5783.64</v>
      </c>
      <c r="D13" s="161">
        <v>6112.32</v>
      </c>
      <c r="E13" s="161">
        <v>6187</v>
      </c>
      <c r="F13" s="161">
        <v>6441</v>
      </c>
      <c r="G13" s="22" t="s">
        <v>7</v>
      </c>
    </row>
    <row r="14" spans="1:7" ht="12.75">
      <c r="A14" s="3">
        <v>521</v>
      </c>
      <c r="B14" s="3" t="s">
        <v>263</v>
      </c>
      <c r="C14" s="24">
        <v>1478.55</v>
      </c>
      <c r="D14" s="161">
        <v>1150.55</v>
      </c>
      <c r="E14" s="161">
        <v>2200</v>
      </c>
      <c r="F14" s="161">
        <v>2000</v>
      </c>
      <c r="G14" s="22" t="s">
        <v>7</v>
      </c>
    </row>
    <row r="15" spans="1:7" ht="12.75">
      <c r="A15" s="3">
        <v>522</v>
      </c>
      <c r="B15" s="3" t="s">
        <v>219</v>
      </c>
      <c r="C15" s="24">
        <v>3414.73</v>
      </c>
      <c r="D15" s="161">
        <v>3307.42</v>
      </c>
      <c r="E15" s="161">
        <v>3567</v>
      </c>
      <c r="F15" s="161">
        <v>3604.7</v>
      </c>
      <c r="G15" s="22" t="s">
        <v>7</v>
      </c>
    </row>
    <row r="16" spans="1:6" ht="12.75">
      <c r="A16" s="3">
        <v>523</v>
      </c>
      <c r="B16" s="3" t="s">
        <v>43</v>
      </c>
      <c r="C16" s="24">
        <v>101.04</v>
      </c>
      <c r="D16" s="161">
        <v>94.97</v>
      </c>
      <c r="E16" s="161">
        <v>125</v>
      </c>
      <c r="F16" s="161">
        <v>125</v>
      </c>
    </row>
    <row r="17" spans="1:6" ht="12.75">
      <c r="A17" s="3">
        <v>524</v>
      </c>
      <c r="B17" s="3" t="s">
        <v>266</v>
      </c>
      <c r="C17" s="24">
        <v>86.25</v>
      </c>
      <c r="D17" s="161">
        <v>207</v>
      </c>
      <c r="E17" s="161">
        <v>150</v>
      </c>
      <c r="F17" s="161">
        <v>200</v>
      </c>
    </row>
    <row r="18" spans="1:7" ht="12.75">
      <c r="A18" s="86">
        <v>525</v>
      </c>
      <c r="B18" s="3" t="s">
        <v>27</v>
      </c>
      <c r="C18" s="24">
        <v>7547.85</v>
      </c>
      <c r="D18" s="161">
        <v>6780.22</v>
      </c>
      <c r="E18" s="161">
        <v>8302</v>
      </c>
      <c r="F18" s="161">
        <v>7458</v>
      </c>
      <c r="G18" s="22" t="s">
        <v>7</v>
      </c>
    </row>
    <row r="19" spans="1:7" ht="12.75">
      <c r="A19" s="3">
        <v>532</v>
      </c>
      <c r="B19" s="3" t="s">
        <v>264</v>
      </c>
      <c r="C19" s="24">
        <v>12907.53</v>
      </c>
      <c r="D19" s="161">
        <v>7824.59</v>
      </c>
      <c r="E19" s="161">
        <v>21000</v>
      </c>
      <c r="F19" s="161">
        <v>20000</v>
      </c>
      <c r="G19" s="22" t="s">
        <v>7</v>
      </c>
    </row>
    <row r="20" spans="1:6" ht="12.75">
      <c r="A20" s="3">
        <v>554</v>
      </c>
      <c r="B20" s="3" t="s">
        <v>504</v>
      </c>
      <c r="C20" s="24">
        <v>9240</v>
      </c>
      <c r="D20" s="161">
        <v>4883.1</v>
      </c>
      <c r="E20" s="161">
        <v>25000</v>
      </c>
      <c r="F20" s="161">
        <v>10000</v>
      </c>
    </row>
    <row r="21" spans="1:7" ht="12.75">
      <c r="A21" s="3">
        <v>553</v>
      </c>
      <c r="B21" s="3" t="s">
        <v>483</v>
      </c>
      <c r="C21" s="24">
        <v>0</v>
      </c>
      <c r="D21" s="161">
        <v>0</v>
      </c>
      <c r="E21" s="161" t="s">
        <v>7</v>
      </c>
      <c r="F21" s="161" t="s">
        <v>7</v>
      </c>
      <c r="G21" s="22" t="s">
        <v>7</v>
      </c>
    </row>
    <row r="22" spans="1:7" ht="12.75">
      <c r="A22" s="86">
        <v>561</v>
      </c>
      <c r="B22" s="3" t="s">
        <v>265</v>
      </c>
      <c r="C22" s="24">
        <v>0</v>
      </c>
      <c r="D22" s="161">
        <v>0</v>
      </c>
      <c r="E22" s="161">
        <v>12500</v>
      </c>
      <c r="F22" s="161">
        <v>12500</v>
      </c>
      <c r="G22" s="22" t="s">
        <v>7</v>
      </c>
    </row>
    <row r="23" spans="1:6" ht="12.75">
      <c r="A23" s="3">
        <v>562</v>
      </c>
      <c r="B23" s="3" t="s">
        <v>195</v>
      </c>
      <c r="C23" s="24">
        <v>0</v>
      </c>
      <c r="D23" s="161">
        <v>0</v>
      </c>
      <c r="E23" s="161">
        <v>394</v>
      </c>
      <c r="F23" s="161">
        <v>394</v>
      </c>
    </row>
    <row r="24" spans="1:5" ht="12.75">
      <c r="A24" s="3"/>
      <c r="B24" s="3"/>
      <c r="C24" s="24"/>
      <c r="E24" s="3"/>
    </row>
    <row r="25" spans="1:8" ht="18" customHeight="1">
      <c r="A25" s="5" t="s">
        <v>30</v>
      </c>
      <c r="B25" s="5"/>
      <c r="C25" s="25">
        <f>SUM(C10:C24)</f>
        <v>191299.87000000002</v>
      </c>
      <c r="D25" s="25">
        <f>SUM(D10:D24)</f>
        <v>193619.66</v>
      </c>
      <c r="E25" s="25">
        <f>SUM(E10:E24)</f>
        <v>227610</v>
      </c>
      <c r="F25" s="25">
        <f>SUM(F10:F24)</f>
        <v>219492.81</v>
      </c>
      <c r="G25" s="53" t="s">
        <v>7</v>
      </c>
      <c r="H25" s="22">
        <f>SUM(D25-E25)</f>
        <v>-33990.34</v>
      </c>
    </row>
    <row r="26" spans="1:6" ht="12.75">
      <c r="A26" s="21"/>
      <c r="B26" s="21"/>
      <c r="C26" s="21"/>
      <c r="D26" s="36"/>
      <c r="E26" s="21"/>
      <c r="F26" s="21"/>
    </row>
    <row r="27" spans="1:6" ht="12.75">
      <c r="A27" s="21"/>
      <c r="B27" s="21"/>
      <c r="C27" s="21"/>
      <c r="D27" s="21"/>
      <c r="E27" s="21"/>
      <c r="F27" s="21"/>
    </row>
    <row r="28" spans="1:6" ht="12.75">
      <c r="A28" s="21"/>
      <c r="B28" s="21"/>
      <c r="C28" s="21" t="s">
        <v>320</v>
      </c>
      <c r="D28" s="21"/>
      <c r="E28" s="21" t="s">
        <v>7</v>
      </c>
      <c r="F28" s="21" t="s">
        <v>7</v>
      </c>
    </row>
    <row r="29" spans="1:6" ht="15" customHeight="1">
      <c r="A29" s="21"/>
      <c r="B29" s="21"/>
      <c r="C29" s="21" t="s">
        <v>656</v>
      </c>
      <c r="D29" s="21"/>
      <c r="E29" s="21"/>
      <c r="F29" s="21"/>
    </row>
    <row r="30" spans="1:6" ht="12.75" hidden="1">
      <c r="A30" s="21"/>
      <c r="B30" s="21" t="s">
        <v>7</v>
      </c>
      <c r="C30" s="23" t="s">
        <v>37</v>
      </c>
      <c r="D30" s="21"/>
      <c r="E30" s="21"/>
      <c r="F30" s="21"/>
    </row>
    <row r="31" spans="2:6" ht="12.75">
      <c r="B31" s="21"/>
      <c r="C31" s="213" t="s">
        <v>442</v>
      </c>
      <c r="D31" s="213"/>
      <c r="E31" s="21"/>
      <c r="F31" s="21"/>
    </row>
    <row r="32" spans="1:6" ht="12.75">
      <c r="A32" s="70" t="s">
        <v>283</v>
      </c>
      <c r="B32" s="21"/>
      <c r="C32" s="7"/>
      <c r="D32" s="7"/>
      <c r="E32" s="21"/>
      <c r="F32" s="21"/>
    </row>
    <row r="33" spans="1:6" ht="12.75">
      <c r="A33" s="70"/>
      <c r="B33" s="21"/>
      <c r="C33" s="7"/>
      <c r="D33" s="7"/>
      <c r="E33" s="21"/>
      <c r="F33" s="21"/>
    </row>
    <row r="34" spans="1:6" s="53" customFormat="1" ht="12.75">
      <c r="A34" s="23">
        <v>511</v>
      </c>
      <c r="B34" s="23" t="s">
        <v>20</v>
      </c>
      <c r="C34" s="23"/>
      <c r="D34" s="23"/>
      <c r="E34" s="23"/>
      <c r="F34" s="23">
        <f>SUM(E40,E46,E51)</f>
        <v>128824.67000000001</v>
      </c>
    </row>
    <row r="35" spans="1:6" ht="12.75">
      <c r="A35" s="21"/>
      <c r="B35" s="21"/>
      <c r="C35" s="21"/>
      <c r="D35" s="21"/>
      <c r="E35" s="21"/>
      <c r="F35" s="21"/>
    </row>
    <row r="36" spans="1:6" ht="12.75">
      <c r="A36" s="21"/>
      <c r="B36" s="21" t="s">
        <v>248</v>
      </c>
      <c r="C36" s="21"/>
      <c r="D36" s="21"/>
      <c r="E36" s="21">
        <v>46910.86</v>
      </c>
      <c r="F36" s="21"/>
    </row>
    <row r="37" spans="1:6" ht="12.75">
      <c r="A37" s="21"/>
      <c r="B37" s="21" t="s">
        <v>688</v>
      </c>
      <c r="C37" s="21"/>
      <c r="D37" s="21"/>
      <c r="E37" s="21">
        <v>1407.33</v>
      </c>
      <c r="F37" s="21"/>
    </row>
    <row r="38" spans="1:6" ht="12.75">
      <c r="A38" s="21"/>
      <c r="B38" s="21" t="s">
        <v>582</v>
      </c>
      <c r="C38" s="21"/>
      <c r="D38" s="21"/>
      <c r="E38" s="21" t="s">
        <v>7</v>
      </c>
      <c r="F38" s="21"/>
    </row>
    <row r="39" spans="1:6" ht="12.75">
      <c r="A39" s="21"/>
      <c r="B39" s="21" t="s">
        <v>334</v>
      </c>
      <c r="C39" s="21"/>
      <c r="D39" s="21"/>
      <c r="E39" s="32">
        <v>2000</v>
      </c>
      <c r="F39" s="21"/>
    </row>
    <row r="40" spans="1:8" ht="12.75">
      <c r="A40" s="21"/>
      <c r="B40" s="21"/>
      <c r="C40" s="21"/>
      <c r="D40" s="21"/>
      <c r="E40" s="51">
        <f>SUM(E36:E39)</f>
        <v>50318.19</v>
      </c>
      <c r="F40" s="21"/>
      <c r="H40" s="22">
        <f>E40*0.05</f>
        <v>2515.9095</v>
      </c>
    </row>
    <row r="41" spans="1:6" ht="12.75">
      <c r="A41" s="21"/>
      <c r="B41" s="21" t="s">
        <v>333</v>
      </c>
      <c r="C41" s="21"/>
      <c r="D41" s="21" t="s">
        <v>0</v>
      </c>
      <c r="E41" s="21" t="s">
        <v>7</v>
      </c>
      <c r="F41" s="21"/>
    </row>
    <row r="42" spans="1:6" ht="12.75">
      <c r="A42" s="21"/>
      <c r="B42" s="21" t="s">
        <v>321</v>
      </c>
      <c r="C42" s="21"/>
      <c r="D42" s="21" t="s">
        <v>7</v>
      </c>
      <c r="E42" s="21">
        <v>38528.67</v>
      </c>
      <c r="F42" s="21"/>
    </row>
    <row r="43" spans="1:6" ht="12.75">
      <c r="A43" s="21"/>
      <c r="B43" s="21" t="s">
        <v>688</v>
      </c>
      <c r="C43" s="21"/>
      <c r="D43" s="21"/>
      <c r="E43" s="21">
        <v>1155.87</v>
      </c>
      <c r="F43" s="21"/>
    </row>
    <row r="44" spans="1:6" ht="12.75">
      <c r="A44" s="21"/>
      <c r="B44" s="21" t="s">
        <v>585</v>
      </c>
      <c r="C44" s="21"/>
      <c r="D44" s="21"/>
      <c r="E44" s="21" t="s">
        <v>7</v>
      </c>
      <c r="F44" s="21"/>
    </row>
    <row r="45" spans="1:6" ht="12.75">
      <c r="A45" s="21"/>
      <c r="B45" s="22" t="s">
        <v>334</v>
      </c>
      <c r="C45" s="21"/>
      <c r="D45" s="21"/>
      <c r="E45" s="27">
        <v>2000</v>
      </c>
      <c r="F45" s="21"/>
    </row>
    <row r="46" spans="2:8" ht="12.75">
      <c r="B46" s="21"/>
      <c r="C46" s="21"/>
      <c r="D46" s="21"/>
      <c r="E46" s="51">
        <f>SUM(E42:E45)</f>
        <v>41684.54</v>
      </c>
      <c r="F46" s="21"/>
      <c r="G46" s="21"/>
      <c r="H46" s="22">
        <f>E46*0.05</f>
        <v>2084.2270000000003</v>
      </c>
    </row>
    <row r="47" spans="2:7" ht="12.75">
      <c r="B47" s="21" t="s">
        <v>636</v>
      </c>
      <c r="C47" s="21"/>
      <c r="D47" s="21"/>
      <c r="E47" s="51"/>
      <c r="F47" s="21"/>
      <c r="G47" s="21"/>
    </row>
    <row r="48" spans="2:7" ht="12.75">
      <c r="B48" s="21" t="s">
        <v>668</v>
      </c>
      <c r="C48" s="21"/>
      <c r="D48" s="21"/>
      <c r="E48" s="21">
        <v>33807.7</v>
      </c>
      <c r="F48" s="21"/>
      <c r="G48" s="21"/>
    </row>
    <row r="49" spans="2:7" ht="12.75">
      <c r="B49" s="21" t="s">
        <v>688</v>
      </c>
      <c r="C49" s="21"/>
      <c r="D49" s="21"/>
      <c r="E49" s="32">
        <v>1014.24</v>
      </c>
      <c r="F49" s="21"/>
      <c r="G49" s="21"/>
    </row>
    <row r="50" spans="2:7" ht="12.75">
      <c r="B50" s="21" t="s">
        <v>334</v>
      </c>
      <c r="C50" s="21"/>
      <c r="D50" s="21"/>
      <c r="E50" s="32">
        <v>2000</v>
      </c>
      <c r="F50" s="21"/>
      <c r="G50" s="21"/>
    </row>
    <row r="51" spans="2:8" ht="12.75">
      <c r="B51" s="21"/>
      <c r="C51" s="21"/>
      <c r="D51" s="21"/>
      <c r="E51" s="51">
        <f>SUM(E48:E50)</f>
        <v>36821.939999999995</v>
      </c>
      <c r="F51" s="21"/>
      <c r="G51" s="21"/>
      <c r="H51" s="22">
        <f>E51*0.05</f>
        <v>1841.0969999999998</v>
      </c>
    </row>
    <row r="53" spans="1:6" ht="12.75">
      <c r="A53" s="23">
        <v>513</v>
      </c>
      <c r="B53" s="23" t="s">
        <v>22</v>
      </c>
      <c r="C53" s="21"/>
      <c r="D53" s="23"/>
      <c r="E53" s="23"/>
      <c r="F53" s="23">
        <f>SUM(E54:E54)</f>
        <v>18090.1</v>
      </c>
    </row>
    <row r="54" spans="1:6" s="53" customFormat="1" ht="12.75">
      <c r="A54" s="21"/>
      <c r="B54" s="21" t="s">
        <v>7</v>
      </c>
      <c r="C54" s="21"/>
      <c r="D54" s="21" t="s">
        <v>7</v>
      </c>
      <c r="E54" s="21">
        <v>18090.1</v>
      </c>
      <c r="F54" s="21"/>
    </row>
    <row r="55" spans="1:6" ht="12.75">
      <c r="A55" s="21"/>
      <c r="D55" s="21"/>
      <c r="E55" s="21"/>
      <c r="F55" s="21"/>
    </row>
    <row r="56" spans="1:6" ht="12.75">
      <c r="A56" s="23">
        <v>514</v>
      </c>
      <c r="B56" s="23" t="s">
        <v>23</v>
      </c>
      <c r="C56" s="21"/>
      <c r="D56" s="23"/>
      <c r="E56" s="23"/>
      <c r="F56" s="23">
        <f>+E57</f>
        <v>9855</v>
      </c>
    </row>
    <row r="57" spans="1:5" ht="12.75">
      <c r="A57" s="21"/>
      <c r="B57" s="21" t="s">
        <v>7</v>
      </c>
      <c r="C57" s="21"/>
      <c r="D57" s="21" t="s">
        <v>7</v>
      </c>
      <c r="E57" s="21">
        <v>9855</v>
      </c>
    </row>
    <row r="58" spans="1:6" s="53" customFormat="1" ht="12.75">
      <c r="A58" s="21"/>
      <c r="B58" s="21"/>
      <c r="C58" s="23"/>
      <c r="D58" s="21"/>
      <c r="E58" s="21"/>
      <c r="F58" s="21"/>
    </row>
    <row r="59" spans="1:6" ht="12.75">
      <c r="A59" s="23">
        <v>515</v>
      </c>
      <c r="B59" s="23" t="s">
        <v>270</v>
      </c>
      <c r="C59" s="21"/>
      <c r="D59" s="23"/>
      <c r="E59" s="23"/>
      <c r="F59" s="23">
        <f>SUM(E60:E61)</f>
        <v>6441</v>
      </c>
    </row>
    <row r="60" spans="1:6" ht="12.75">
      <c r="A60" s="21"/>
      <c r="B60" s="21" t="s">
        <v>7</v>
      </c>
      <c r="C60" s="21"/>
      <c r="D60" s="21" t="s">
        <v>7</v>
      </c>
      <c r="E60" s="21">
        <v>6441</v>
      </c>
      <c r="F60" s="21"/>
    </row>
    <row r="61" spans="1:6" ht="12.75">
      <c r="A61" s="21"/>
      <c r="B61" s="21" t="s">
        <v>7</v>
      </c>
      <c r="C61" s="21"/>
      <c r="D61" s="21"/>
      <c r="E61" s="21" t="s">
        <v>7</v>
      </c>
      <c r="F61" s="21"/>
    </row>
    <row r="62" spans="1:6" s="53" customFormat="1" ht="12.75">
      <c r="A62" s="23">
        <v>521</v>
      </c>
      <c r="B62" s="23" t="s">
        <v>263</v>
      </c>
      <c r="C62" s="21"/>
      <c r="D62" s="23"/>
      <c r="E62" s="23"/>
      <c r="F62" s="23">
        <f>SUM(E63:E64)</f>
        <v>2000</v>
      </c>
    </row>
    <row r="63" spans="1:6" ht="12.75">
      <c r="A63" s="21"/>
      <c r="B63" s="21" t="s">
        <v>322</v>
      </c>
      <c r="C63" s="21"/>
      <c r="D63" s="21"/>
      <c r="E63" s="21">
        <v>2000</v>
      </c>
      <c r="F63" s="21"/>
    </row>
    <row r="64" spans="1:6" ht="12.75">
      <c r="A64" s="21"/>
      <c r="B64" s="21" t="s">
        <v>335</v>
      </c>
      <c r="C64" s="21"/>
      <c r="D64" s="21"/>
      <c r="E64" s="21"/>
      <c r="F64" s="21"/>
    </row>
    <row r="65" spans="1:6" ht="12.75">
      <c r="A65" s="21"/>
      <c r="B65" s="21"/>
      <c r="C65" s="23"/>
      <c r="D65" s="21"/>
      <c r="E65" s="21"/>
      <c r="F65" s="21"/>
    </row>
    <row r="66" spans="1:6" ht="12.75">
      <c r="A66" s="23">
        <v>522</v>
      </c>
      <c r="B66" s="23" t="s">
        <v>219</v>
      </c>
      <c r="C66" s="21"/>
      <c r="D66" s="23"/>
      <c r="E66" s="23"/>
      <c r="F66" s="23">
        <f>SUM(E68:E69)</f>
        <v>3605</v>
      </c>
    </row>
    <row r="67" spans="1:6" ht="12.75">
      <c r="A67" s="21"/>
      <c r="B67" s="21" t="s">
        <v>336</v>
      </c>
      <c r="C67" s="21"/>
      <c r="D67" s="21"/>
      <c r="E67" s="21">
        <v>0</v>
      </c>
      <c r="F67" s="21"/>
    </row>
    <row r="68" spans="1:6" s="53" customFormat="1" ht="12.75">
      <c r="A68" s="21"/>
      <c r="B68" s="21" t="s">
        <v>256</v>
      </c>
      <c r="C68" s="21"/>
      <c r="D68" s="21"/>
      <c r="E68" s="21">
        <v>3605</v>
      </c>
      <c r="F68" s="21"/>
    </row>
    <row r="69" spans="1:6" ht="12.75">
      <c r="A69" s="21"/>
      <c r="B69" s="21" t="s">
        <v>7</v>
      </c>
      <c r="C69" s="21"/>
      <c r="D69" s="21"/>
      <c r="E69" s="21" t="s">
        <v>7</v>
      </c>
      <c r="F69" s="21"/>
    </row>
    <row r="70" spans="1:6" ht="12.75">
      <c r="A70" s="21"/>
      <c r="B70" s="21"/>
      <c r="C70" s="23"/>
      <c r="D70" s="21"/>
      <c r="E70" s="21" t="s">
        <v>7</v>
      </c>
      <c r="F70" s="21"/>
    </row>
    <row r="71" spans="1:6" s="53" customFormat="1" ht="12.75">
      <c r="A71" s="23">
        <v>523</v>
      </c>
      <c r="B71" s="23" t="s">
        <v>43</v>
      </c>
      <c r="C71" s="21"/>
      <c r="D71" s="23"/>
      <c r="E71" s="23"/>
      <c r="F71" s="23">
        <f>SUM(E72:E72)</f>
        <v>125</v>
      </c>
    </row>
    <row r="72" spans="1:6" ht="12.75">
      <c r="A72" s="21"/>
      <c r="B72" s="21" t="s">
        <v>317</v>
      </c>
      <c r="C72" s="21"/>
      <c r="D72" s="21"/>
      <c r="E72" s="21">
        <v>125</v>
      </c>
      <c r="F72" s="21"/>
    </row>
    <row r="73" spans="1:6" ht="12.75">
      <c r="A73" s="21"/>
      <c r="B73" s="21"/>
      <c r="C73" s="21"/>
      <c r="D73" s="21"/>
      <c r="E73" s="21"/>
      <c r="F73" s="21"/>
    </row>
    <row r="74" spans="1:6" ht="12.75">
      <c r="A74" s="23">
        <v>524</v>
      </c>
      <c r="B74" s="23" t="s">
        <v>266</v>
      </c>
      <c r="C74" s="21"/>
      <c r="D74" s="23"/>
      <c r="E74" s="23"/>
      <c r="F74" s="23">
        <f>+E75</f>
        <v>200</v>
      </c>
    </row>
    <row r="75" spans="1:6" ht="12.75">
      <c r="A75" s="21"/>
      <c r="B75" s="21" t="s">
        <v>337</v>
      </c>
      <c r="C75" s="21"/>
      <c r="D75" s="21"/>
      <c r="E75" s="21">
        <v>200</v>
      </c>
      <c r="F75" s="21"/>
    </row>
    <row r="76" spans="1:6" ht="12.75">
      <c r="A76" s="21"/>
      <c r="B76" s="21"/>
      <c r="C76" s="23"/>
      <c r="D76" s="21"/>
      <c r="E76" s="21"/>
      <c r="F76" s="21"/>
    </row>
    <row r="77" spans="1:6" s="53" customFormat="1" ht="12.75">
      <c r="A77" s="23">
        <v>525</v>
      </c>
      <c r="B77" s="23" t="s">
        <v>27</v>
      </c>
      <c r="C77" s="21"/>
      <c r="D77" s="23"/>
      <c r="E77" s="23"/>
      <c r="F77" s="23">
        <v>7458</v>
      </c>
    </row>
    <row r="78" spans="1:6" ht="12.75">
      <c r="A78" s="21"/>
      <c r="B78" s="21" t="s">
        <v>7</v>
      </c>
      <c r="C78" s="21"/>
      <c r="D78" s="21"/>
      <c r="E78" s="21">
        <v>7458</v>
      </c>
      <c r="F78" s="21"/>
    </row>
    <row r="79" spans="1:6" ht="12.75">
      <c r="A79" s="21"/>
      <c r="B79" s="21" t="s">
        <v>7</v>
      </c>
      <c r="C79" s="21"/>
      <c r="D79" s="21"/>
      <c r="E79" s="21" t="s">
        <v>7</v>
      </c>
      <c r="F79" s="21"/>
    </row>
    <row r="80" spans="1:6" ht="12.75">
      <c r="A80" s="21"/>
      <c r="C80" s="23"/>
      <c r="D80" s="21"/>
      <c r="E80" s="21" t="s">
        <v>7</v>
      </c>
      <c r="F80" s="21"/>
    </row>
    <row r="81" spans="1:6" ht="12.75">
      <c r="A81" s="23">
        <v>532</v>
      </c>
      <c r="B81" s="23" t="s">
        <v>264</v>
      </c>
      <c r="C81" s="21"/>
      <c r="D81" s="23"/>
      <c r="E81" s="23"/>
      <c r="F81" s="23">
        <f>SUM(E82:E82)</f>
        <v>20000</v>
      </c>
    </row>
    <row r="82" spans="1:6" ht="12.75">
      <c r="A82" s="21"/>
      <c r="B82" s="21" t="s">
        <v>7</v>
      </c>
      <c r="C82" s="21"/>
      <c r="D82" s="21"/>
      <c r="E82" s="21">
        <v>20000</v>
      </c>
      <c r="F82" s="21" t="s">
        <v>7</v>
      </c>
    </row>
    <row r="83" spans="1:6" s="53" customFormat="1" ht="12.75">
      <c r="A83" s="21"/>
      <c r="B83" s="21"/>
      <c r="C83" s="23"/>
      <c r="D83" s="21"/>
      <c r="E83" s="21"/>
      <c r="F83" s="21"/>
    </row>
    <row r="84" spans="1:6" s="53" customFormat="1" ht="12.75">
      <c r="A84" s="23"/>
      <c r="B84" s="23"/>
      <c r="C84" s="23"/>
      <c r="D84" s="21"/>
      <c r="E84" s="21"/>
      <c r="F84" s="21"/>
    </row>
    <row r="85" spans="1:6" s="53" customFormat="1" ht="12.75">
      <c r="A85" s="21"/>
      <c r="B85" s="21"/>
      <c r="C85" s="23"/>
      <c r="D85" s="21"/>
      <c r="E85" s="21"/>
      <c r="F85" s="21"/>
    </row>
    <row r="86" spans="1:6" s="53" customFormat="1" ht="12.75">
      <c r="A86" s="21"/>
      <c r="B86" s="21"/>
      <c r="C86" s="23"/>
      <c r="D86" s="21"/>
      <c r="E86" s="21"/>
      <c r="F86" s="21"/>
    </row>
    <row r="87" spans="1:6" s="53" customFormat="1" ht="12.75">
      <c r="A87" s="53">
        <v>553</v>
      </c>
      <c r="B87" s="23" t="s">
        <v>392</v>
      </c>
      <c r="C87" s="23"/>
      <c r="D87" s="23"/>
      <c r="E87" s="23"/>
      <c r="F87" s="23">
        <v>0</v>
      </c>
    </row>
    <row r="88" spans="1:6" s="53" customFormat="1" ht="12.75">
      <c r="A88" s="23"/>
      <c r="B88" s="21" t="s">
        <v>476</v>
      </c>
      <c r="C88" s="23"/>
      <c r="D88" s="23"/>
      <c r="E88" s="21">
        <v>0</v>
      </c>
      <c r="F88" s="23"/>
    </row>
    <row r="89" spans="1:6" s="53" customFormat="1" ht="12.75">
      <c r="A89" s="23"/>
      <c r="B89" s="21"/>
      <c r="C89" s="23"/>
      <c r="D89" s="23"/>
      <c r="E89" s="21"/>
      <c r="F89" s="23"/>
    </row>
    <row r="90" spans="1:6" s="53" customFormat="1" ht="12.75">
      <c r="A90" s="23">
        <v>554</v>
      </c>
      <c r="B90" s="23" t="s">
        <v>561</v>
      </c>
      <c r="C90" s="23"/>
      <c r="D90" s="23"/>
      <c r="E90" s="21" t="s">
        <v>7</v>
      </c>
      <c r="F90" s="23">
        <f>E91</f>
        <v>10000</v>
      </c>
    </row>
    <row r="91" spans="1:6" s="53" customFormat="1" ht="12.75">
      <c r="A91" s="23"/>
      <c r="B91" s="21" t="s">
        <v>689</v>
      </c>
      <c r="C91" s="23"/>
      <c r="D91" s="23"/>
      <c r="E91" s="21">
        <v>10000</v>
      </c>
      <c r="F91" s="23"/>
    </row>
    <row r="92" spans="1:6" s="53" customFormat="1" ht="12.75">
      <c r="A92" s="21"/>
      <c r="B92" s="21"/>
      <c r="C92" s="23"/>
      <c r="D92" s="21"/>
      <c r="E92" s="21"/>
      <c r="F92" s="21"/>
    </row>
    <row r="93" spans="1:6" ht="12.75">
      <c r="A93" s="23">
        <v>561</v>
      </c>
      <c r="B93" s="23" t="s">
        <v>265</v>
      </c>
      <c r="C93" s="21"/>
      <c r="D93" s="23"/>
      <c r="E93" s="23" t="s">
        <v>7</v>
      </c>
      <c r="F93" s="23">
        <f>SUM(E94:E94)</f>
        <v>12500</v>
      </c>
    </row>
    <row r="94" spans="1:6" ht="12.75">
      <c r="A94" s="21"/>
      <c r="B94" s="21" t="s">
        <v>338</v>
      </c>
      <c r="C94" s="21"/>
      <c r="D94" s="21"/>
      <c r="E94" s="21">
        <v>12500</v>
      </c>
      <c r="F94" s="21"/>
    </row>
    <row r="95" spans="1:6" ht="12.75">
      <c r="A95" s="21"/>
      <c r="B95" s="21"/>
      <c r="C95" s="23"/>
      <c r="D95" s="21"/>
      <c r="E95" s="21"/>
      <c r="F95" s="21"/>
    </row>
    <row r="96" spans="1:6" ht="12.75">
      <c r="A96" s="23">
        <v>562</v>
      </c>
      <c r="B96" s="23" t="s">
        <v>195</v>
      </c>
      <c r="C96" s="21"/>
      <c r="D96" s="23"/>
      <c r="E96" s="23"/>
      <c r="F96" s="23">
        <f>SUM(E97:E97)</f>
        <v>394</v>
      </c>
    </row>
    <row r="97" spans="1:6" ht="12.75">
      <c r="A97" s="21"/>
      <c r="B97" s="21" t="s">
        <v>644</v>
      </c>
      <c r="C97" s="21"/>
      <c r="D97" s="21"/>
      <c r="E97" s="21">
        <v>394</v>
      </c>
      <c r="F97" s="21"/>
    </row>
    <row r="99" spans="1:6" ht="12.75">
      <c r="A99" s="53"/>
      <c r="B99" s="53" t="s">
        <v>30</v>
      </c>
      <c r="C99" s="53"/>
      <c r="D99" s="53"/>
      <c r="E99" s="53"/>
      <c r="F99" s="53">
        <f>SUM(F34:F98)</f>
        <v>219492.77000000002</v>
      </c>
    </row>
  </sheetData>
  <sheetProtection/>
  <mergeCells count="3">
    <mergeCell ref="C31:D31"/>
    <mergeCell ref="A1:F1"/>
    <mergeCell ref="A2:F2"/>
  </mergeCells>
  <printOptions/>
  <pageMargins left="0.7" right="0.7" top="0.8" bottom="0.6" header="0.5" footer="0.5"/>
  <pageSetup horizontalDpi="300" verticalDpi="300" orientation="portrait" r:id="rId1"/>
  <headerFooter alignWithMargins="0">
    <oddFooter>&amp;CPage &amp;P&amp;R&amp;A</oddFooter>
  </headerFooter>
  <rowBreaks count="2" manualBreakCount="2">
    <brk id="26" max="255" man="1"/>
    <brk id="76" max="255" man="1"/>
  </rowBreaks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D26" sqref="D26"/>
    </sheetView>
  </sheetViews>
  <sheetFormatPr defaultColWidth="9.00390625" defaultRowHeight="12.75"/>
  <cols>
    <col min="1" max="1" width="9.00390625" style="34" customWidth="1"/>
    <col min="2" max="2" width="19.25390625" style="34" customWidth="1"/>
    <col min="3" max="3" width="9.50390625" style="34" bestFit="1" customWidth="1"/>
    <col min="4" max="4" width="10.125" style="34" bestFit="1" customWidth="1"/>
    <col min="5" max="5" width="11.00390625" style="34" bestFit="1" customWidth="1"/>
    <col min="6" max="6" width="10.25390625" style="34" customWidth="1"/>
    <col min="7" max="16384" width="9.00390625" style="34" customWidth="1"/>
  </cols>
  <sheetData>
    <row r="1" spans="1:6" s="24" customFormat="1" ht="12.75">
      <c r="A1" s="210" t="s">
        <v>267</v>
      </c>
      <c r="B1" s="211"/>
      <c r="C1" s="211"/>
      <c r="D1" s="211"/>
      <c r="E1" s="211"/>
      <c r="F1" s="211"/>
    </row>
    <row r="2" spans="1:6" s="24" customFormat="1" ht="12.75">
      <c r="A2" s="210" t="s">
        <v>588</v>
      </c>
      <c r="B2" s="212"/>
      <c r="C2" s="212"/>
      <c r="D2" s="212"/>
      <c r="E2" s="212"/>
      <c r="F2" s="212"/>
    </row>
    <row r="3" spans="1:6" s="24" customFormat="1" ht="12.75">
      <c r="A3" s="3"/>
      <c r="B3" s="3"/>
      <c r="C3" s="3"/>
      <c r="D3" s="3"/>
      <c r="E3" s="3"/>
      <c r="F3" s="3"/>
    </row>
    <row r="4" spans="1:6" s="24" customFormat="1" ht="12.75">
      <c r="A4" s="3"/>
      <c r="B4" s="3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</row>
    <row r="5" spans="1:6" s="24" customFormat="1" ht="12.75">
      <c r="A5" s="3"/>
      <c r="B5" s="3"/>
      <c r="C5" s="36" t="s">
        <v>2</v>
      </c>
      <c r="D5" s="36" t="s">
        <v>2</v>
      </c>
      <c r="E5" s="36" t="s">
        <v>2</v>
      </c>
      <c r="F5" s="36" t="s">
        <v>2</v>
      </c>
    </row>
    <row r="6" spans="1:6" s="24" customFormat="1" ht="12.75">
      <c r="A6" s="3"/>
      <c r="B6" s="3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</row>
    <row r="7" spans="1:6" s="24" customFormat="1" ht="12.75">
      <c r="A7" s="3"/>
      <c r="B7" s="3"/>
      <c r="C7" s="7" t="s">
        <v>3</v>
      </c>
      <c r="D7" s="36" t="s">
        <v>194</v>
      </c>
      <c r="E7" s="36" t="s">
        <v>191</v>
      </c>
      <c r="F7" s="36" t="s">
        <v>191</v>
      </c>
    </row>
    <row r="8" spans="1:6" s="24" customFormat="1" ht="12.75">
      <c r="A8" s="3"/>
      <c r="B8" s="3"/>
      <c r="C8" s="3"/>
      <c r="D8" s="3"/>
      <c r="E8" s="3"/>
      <c r="F8" s="3"/>
    </row>
    <row r="9" spans="1:6" s="24" customFormat="1" ht="12.75">
      <c r="A9" s="5" t="s">
        <v>4</v>
      </c>
      <c r="B9" s="3"/>
      <c r="C9" s="3"/>
      <c r="D9" s="3"/>
      <c r="E9" s="3"/>
      <c r="F9" s="3"/>
    </row>
    <row r="10" spans="1:7" s="24" customFormat="1" ht="12.75">
      <c r="A10" s="3">
        <v>511</v>
      </c>
      <c r="B10" s="3" t="s">
        <v>20</v>
      </c>
      <c r="C10" s="3">
        <v>6429.72</v>
      </c>
      <c r="D10" s="158">
        <v>8171.64</v>
      </c>
      <c r="E10" s="158">
        <v>6500</v>
      </c>
      <c r="F10" s="158">
        <v>8284.29</v>
      </c>
      <c r="G10" s="24" t="s">
        <v>7</v>
      </c>
    </row>
    <row r="11" spans="1:6" s="24" customFormat="1" ht="12.75">
      <c r="A11" s="3">
        <v>513</v>
      </c>
      <c r="B11" s="3" t="s">
        <v>22</v>
      </c>
      <c r="C11" s="3">
        <v>0</v>
      </c>
      <c r="D11" s="161">
        <v>0</v>
      </c>
      <c r="E11" s="161">
        <v>0</v>
      </c>
      <c r="F11" s="161">
        <v>0</v>
      </c>
    </row>
    <row r="12" spans="1:6" s="24" customFormat="1" ht="12.75">
      <c r="A12" s="3">
        <v>514</v>
      </c>
      <c r="B12" s="3" t="s">
        <v>374</v>
      </c>
      <c r="C12" s="3">
        <v>491.73</v>
      </c>
      <c r="D12" s="161">
        <v>625.71</v>
      </c>
      <c r="E12" s="161">
        <v>497</v>
      </c>
      <c r="F12" s="161">
        <v>633.74</v>
      </c>
    </row>
    <row r="13" spans="1:6" s="24" customFormat="1" ht="12.75">
      <c r="A13" s="3">
        <v>515</v>
      </c>
      <c r="B13" s="3" t="s">
        <v>339</v>
      </c>
      <c r="C13" s="3">
        <v>0</v>
      </c>
      <c r="D13" s="161">
        <v>0</v>
      </c>
      <c r="E13" s="161" t="s">
        <v>7</v>
      </c>
      <c r="F13" s="158">
        <v>0</v>
      </c>
    </row>
    <row r="14" spans="1:6" s="24" customFormat="1" ht="12.75">
      <c r="A14" s="3">
        <v>521</v>
      </c>
      <c r="B14" s="3" t="s">
        <v>589</v>
      </c>
      <c r="C14" s="3"/>
      <c r="D14" s="161"/>
      <c r="E14" s="161" t="s">
        <v>7</v>
      </c>
      <c r="F14" s="161">
        <v>0</v>
      </c>
    </row>
    <row r="15" spans="1:6" s="24" customFormat="1" ht="12.75">
      <c r="A15" s="3">
        <v>522</v>
      </c>
      <c r="B15" s="24" t="s">
        <v>219</v>
      </c>
      <c r="C15" s="3">
        <v>1233</v>
      </c>
      <c r="D15" s="161">
        <v>1333.56</v>
      </c>
      <c r="E15" s="161">
        <v>1200</v>
      </c>
      <c r="F15" s="161">
        <v>1439.9</v>
      </c>
    </row>
    <row r="16" spans="1:6" s="24" customFormat="1" ht="12.75">
      <c r="A16" s="3">
        <v>523</v>
      </c>
      <c r="B16" s="24" t="s">
        <v>43</v>
      </c>
      <c r="C16" s="3"/>
      <c r="D16" s="161"/>
      <c r="E16" s="161" t="s">
        <v>7</v>
      </c>
      <c r="F16" s="161">
        <v>0</v>
      </c>
    </row>
    <row r="17" spans="1:6" s="24" customFormat="1" ht="12.75">
      <c r="A17" s="3">
        <v>524</v>
      </c>
      <c r="B17" s="24" t="s">
        <v>266</v>
      </c>
      <c r="C17" s="3">
        <v>130.35</v>
      </c>
      <c r="D17" s="161">
        <v>195.58</v>
      </c>
      <c r="E17" s="161">
        <v>150</v>
      </c>
      <c r="F17" s="161">
        <v>200</v>
      </c>
    </row>
    <row r="18" spans="1:6" s="24" customFormat="1" ht="12.75">
      <c r="A18" s="3">
        <v>525</v>
      </c>
      <c r="B18" s="24" t="s">
        <v>27</v>
      </c>
      <c r="C18" s="3">
        <v>2822</v>
      </c>
      <c r="D18" s="161">
        <v>2535</v>
      </c>
      <c r="E18" s="161">
        <v>3104</v>
      </c>
      <c r="F18" s="161">
        <v>2788.5</v>
      </c>
    </row>
    <row r="19" spans="1:6" s="24" customFormat="1" ht="12.75">
      <c r="A19" s="3">
        <v>526</v>
      </c>
      <c r="B19" s="24" t="s">
        <v>36</v>
      </c>
      <c r="C19" s="3"/>
      <c r="D19" s="161"/>
      <c r="E19" s="161">
        <v>0</v>
      </c>
      <c r="F19" s="161">
        <v>0</v>
      </c>
    </row>
    <row r="20" spans="1:6" s="24" customFormat="1" ht="12.75">
      <c r="A20" s="3">
        <v>529</v>
      </c>
      <c r="B20" s="24" t="s">
        <v>317</v>
      </c>
      <c r="C20" s="3"/>
      <c r="D20" s="161"/>
      <c r="E20" s="161">
        <v>0</v>
      </c>
      <c r="F20" s="161">
        <v>0</v>
      </c>
    </row>
    <row r="21" spans="1:6" s="24" customFormat="1" ht="12.75">
      <c r="A21" s="3">
        <v>532</v>
      </c>
      <c r="B21" s="24" t="s">
        <v>264</v>
      </c>
      <c r="C21" s="3">
        <v>852.34</v>
      </c>
      <c r="D21" s="161">
        <v>1534.52</v>
      </c>
      <c r="E21" s="161">
        <v>1000</v>
      </c>
      <c r="F21" s="161">
        <v>1500</v>
      </c>
    </row>
    <row r="22" spans="1:6" s="24" customFormat="1" ht="12.75">
      <c r="A22" s="3">
        <v>554</v>
      </c>
      <c r="B22" s="24" t="s">
        <v>561</v>
      </c>
      <c r="C22" s="3"/>
      <c r="D22" s="161"/>
      <c r="E22" s="161">
        <v>0</v>
      </c>
      <c r="F22" s="161" t="s">
        <v>7</v>
      </c>
    </row>
    <row r="23" spans="1:6" s="24" customFormat="1" ht="12.75">
      <c r="A23" s="3"/>
      <c r="B23" s="3"/>
      <c r="C23" s="3"/>
      <c r="E23" s="3"/>
      <c r="F23" s="161"/>
    </row>
    <row r="24" spans="1:8" s="24" customFormat="1" ht="12.75">
      <c r="A24" s="5" t="s">
        <v>30</v>
      </c>
      <c r="B24" s="5"/>
      <c r="C24" s="133">
        <f>SUM(C10:C23)</f>
        <v>11959.140000000001</v>
      </c>
      <c r="D24" s="133">
        <f>SUM(D10:D23)</f>
        <v>14396.01</v>
      </c>
      <c r="E24" s="133">
        <f>SUM(E10:E23)</f>
        <v>12451</v>
      </c>
      <c r="F24" s="133">
        <f>SUM(F10:F23)</f>
        <v>14846.43</v>
      </c>
      <c r="H24" s="24">
        <f>SUM(D24-E24)</f>
        <v>1945.0100000000002</v>
      </c>
    </row>
    <row r="25" spans="1:6" s="24" customFormat="1" ht="12.75">
      <c r="A25" s="3"/>
      <c r="B25" s="3"/>
      <c r="C25" s="3"/>
      <c r="E25" s="3"/>
      <c r="F25" s="161"/>
    </row>
    <row r="46" ht="12">
      <c r="D46" s="132"/>
    </row>
  </sheetData>
  <sheetProtection/>
  <mergeCells count="2">
    <mergeCell ref="A1:F1"/>
    <mergeCell ref="A2:F2"/>
  </mergeCells>
  <printOptions/>
  <pageMargins left="0.7" right="0.7" top="0.8" bottom="0.6" header="0.5" footer="0.5"/>
  <pageSetup horizontalDpi="300" verticalDpi="300" orientation="portrait" r:id="rId1"/>
  <headerFooter alignWithMargins="0">
    <oddFooter>&amp;CPage &amp;P
&amp;R&amp;A</oddFooter>
  </headerFooter>
  <rowBreaks count="2" manualBreakCount="2">
    <brk id="134" max="6" man="1"/>
    <brk id="1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07"/>
  <sheetViews>
    <sheetView showGridLines="0" zoomScaleSheetLayoutView="100" zoomScalePageLayoutView="0" workbookViewId="0" topLeftCell="A1">
      <pane xSplit="2" ySplit="7" topLeftCell="C20" activePane="bottomRight" state="frozen"/>
      <selection pane="topLeft" activeCell="I104" sqref="I104"/>
      <selection pane="topRight" activeCell="I104" sqref="I104"/>
      <selection pane="bottomLeft" activeCell="I104" sqref="I104"/>
      <selection pane="bottomRight" activeCell="D38" sqref="D38"/>
    </sheetView>
  </sheetViews>
  <sheetFormatPr defaultColWidth="9.00390625" defaultRowHeight="12.75"/>
  <cols>
    <col min="1" max="1" width="4.625" style="22" customWidth="1"/>
    <col min="2" max="2" width="19.125" style="22" customWidth="1"/>
    <col min="3" max="7" width="11.625" style="22" customWidth="1"/>
    <col min="8" max="16384" width="9.00390625" style="22" customWidth="1"/>
  </cols>
  <sheetData>
    <row r="1" spans="1:7" ht="12.75">
      <c r="A1" s="210" t="s">
        <v>267</v>
      </c>
      <c r="B1" s="211"/>
      <c r="C1" s="211"/>
      <c r="D1" s="211"/>
      <c r="E1" s="211"/>
      <c r="F1" s="211"/>
      <c r="G1" s="21"/>
    </row>
    <row r="2" spans="1:7" ht="12.75">
      <c r="A2" s="210" t="s">
        <v>444</v>
      </c>
      <c r="B2" s="211"/>
      <c r="C2" s="211"/>
      <c r="D2" s="211"/>
      <c r="E2" s="211"/>
      <c r="F2" s="211"/>
      <c r="G2" s="21"/>
    </row>
    <row r="3" spans="1:7" ht="12.75">
      <c r="A3" s="3"/>
      <c r="B3" s="3"/>
      <c r="C3" s="3"/>
      <c r="D3" s="3"/>
      <c r="E3" s="3"/>
      <c r="F3" s="3"/>
      <c r="G3" s="21"/>
    </row>
    <row r="4" spans="1:7" ht="12.75">
      <c r="A4" s="3"/>
      <c r="B4" s="3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  <c r="G4" s="37"/>
    </row>
    <row r="5" spans="1:7" ht="12.75">
      <c r="A5" s="3"/>
      <c r="B5" s="3"/>
      <c r="C5" s="36" t="s">
        <v>2</v>
      </c>
      <c r="D5" s="36" t="s">
        <v>2</v>
      </c>
      <c r="E5" s="36" t="s">
        <v>2</v>
      </c>
      <c r="F5" s="36" t="s">
        <v>2</v>
      </c>
      <c r="G5" s="21"/>
    </row>
    <row r="6" spans="1:7" ht="12.75">
      <c r="A6" s="3"/>
      <c r="B6" s="3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  <c r="G6" s="37"/>
    </row>
    <row r="7" spans="1:7" ht="12.75">
      <c r="A7" s="3"/>
      <c r="B7" s="3"/>
      <c r="C7" s="7" t="s">
        <v>3</v>
      </c>
      <c r="D7" s="36" t="s">
        <v>278</v>
      </c>
      <c r="E7" s="36" t="s">
        <v>191</v>
      </c>
      <c r="F7" s="36" t="s">
        <v>191</v>
      </c>
      <c r="G7" s="21"/>
    </row>
    <row r="8" spans="1:7" ht="12.75">
      <c r="A8" s="3"/>
      <c r="B8" s="3"/>
      <c r="C8" s="3"/>
      <c r="D8" s="3"/>
      <c r="E8" s="3"/>
      <c r="F8" s="3"/>
      <c r="G8" s="21"/>
    </row>
    <row r="9" spans="1:7" ht="12.75">
      <c r="A9" s="5" t="s">
        <v>4</v>
      </c>
      <c r="B9" s="3"/>
      <c r="C9" s="24"/>
      <c r="D9" s="3"/>
      <c r="E9" s="3"/>
      <c r="F9" s="3"/>
      <c r="G9" s="21"/>
    </row>
    <row r="10" spans="1:7" ht="12.75">
      <c r="A10" s="86">
        <v>511</v>
      </c>
      <c r="B10" s="3" t="s">
        <v>20</v>
      </c>
      <c r="C10" s="24">
        <v>20762.25</v>
      </c>
      <c r="D10" s="161">
        <v>29908.48</v>
      </c>
      <c r="E10" s="161">
        <v>30899</v>
      </c>
      <c r="F10" s="161">
        <v>38340</v>
      </c>
      <c r="G10" s="21" t="s">
        <v>7</v>
      </c>
    </row>
    <row r="11" spans="1:7" ht="12.75">
      <c r="A11" s="86">
        <v>513</v>
      </c>
      <c r="B11" s="3" t="s">
        <v>22</v>
      </c>
      <c r="C11" s="24">
        <v>0</v>
      </c>
      <c r="D11" s="161">
        <v>0</v>
      </c>
      <c r="E11" s="161" t="s">
        <v>7</v>
      </c>
      <c r="F11" s="161">
        <v>0</v>
      </c>
      <c r="G11" s="21"/>
    </row>
    <row r="12" spans="1:7" ht="12.75">
      <c r="A12" s="86">
        <v>514</v>
      </c>
      <c r="B12" s="3" t="s">
        <v>23</v>
      </c>
      <c r="C12" s="24">
        <v>1588.39</v>
      </c>
      <c r="D12" s="161">
        <v>2304.3</v>
      </c>
      <c r="E12" s="161">
        <v>2364</v>
      </c>
      <c r="F12" s="161">
        <v>2933.01</v>
      </c>
      <c r="G12" s="21" t="s">
        <v>7</v>
      </c>
    </row>
    <row r="13" spans="1:7" ht="12.75">
      <c r="A13" s="86">
        <v>515</v>
      </c>
      <c r="B13" s="3" t="s">
        <v>270</v>
      </c>
      <c r="C13" s="24">
        <v>0</v>
      </c>
      <c r="D13" s="161">
        <v>0</v>
      </c>
      <c r="E13" s="161" t="s">
        <v>7</v>
      </c>
      <c r="F13" s="161">
        <v>0</v>
      </c>
      <c r="G13" s="21" t="s">
        <v>7</v>
      </c>
    </row>
    <row r="14" spans="1:7" ht="12.75">
      <c r="A14" s="86">
        <v>521</v>
      </c>
      <c r="B14" s="3" t="s">
        <v>263</v>
      </c>
      <c r="C14" s="24">
        <v>569.36</v>
      </c>
      <c r="D14" s="161">
        <v>898.84</v>
      </c>
      <c r="E14" s="161">
        <v>550</v>
      </c>
      <c r="F14" s="161">
        <v>600</v>
      </c>
      <c r="G14" s="21" t="s">
        <v>7</v>
      </c>
    </row>
    <row r="15" spans="1:7" ht="12.75">
      <c r="A15" s="86">
        <v>525</v>
      </c>
      <c r="B15" s="3" t="s">
        <v>27</v>
      </c>
      <c r="C15" s="24">
        <v>2116.2</v>
      </c>
      <c r="D15" s="161">
        <v>5034.98</v>
      </c>
      <c r="E15" s="161">
        <v>2328</v>
      </c>
      <c r="F15" s="161">
        <v>3134</v>
      </c>
      <c r="G15" s="21" t="s">
        <v>7</v>
      </c>
    </row>
    <row r="16" spans="1:7" ht="12.75">
      <c r="A16" s="86">
        <v>526</v>
      </c>
      <c r="B16" s="3" t="s">
        <v>36</v>
      </c>
      <c r="C16" s="24">
        <v>2564.77</v>
      </c>
      <c r="D16" s="161">
        <v>3616.69</v>
      </c>
      <c r="E16" s="161">
        <v>3000</v>
      </c>
      <c r="F16" s="161">
        <v>3909.58</v>
      </c>
      <c r="G16" s="21" t="s">
        <v>7</v>
      </c>
    </row>
    <row r="17" spans="1:7" ht="12.75">
      <c r="A17" s="86">
        <v>522</v>
      </c>
      <c r="B17" s="3" t="s">
        <v>219</v>
      </c>
      <c r="C17" s="24">
        <v>803.28</v>
      </c>
      <c r="D17" s="161">
        <v>910.53</v>
      </c>
      <c r="E17" s="161">
        <v>870</v>
      </c>
      <c r="F17" s="161">
        <v>870</v>
      </c>
      <c r="G17" s="21"/>
    </row>
    <row r="18" spans="1:7" ht="12.75">
      <c r="A18" s="86">
        <v>524</v>
      </c>
      <c r="B18" s="3" t="s">
        <v>266</v>
      </c>
      <c r="C18" s="24">
        <v>350.8</v>
      </c>
      <c r="D18" s="161">
        <v>535.01</v>
      </c>
      <c r="E18" s="161">
        <v>150</v>
      </c>
      <c r="F18" s="161">
        <v>150</v>
      </c>
      <c r="G18" s="21"/>
    </row>
    <row r="19" spans="1:7" ht="12.75">
      <c r="A19" s="86">
        <v>532</v>
      </c>
      <c r="B19" s="3" t="s">
        <v>271</v>
      </c>
      <c r="C19" s="24">
        <v>4568.64</v>
      </c>
      <c r="D19" s="161">
        <v>13938.24</v>
      </c>
      <c r="E19" s="161">
        <v>6250</v>
      </c>
      <c r="F19" s="161">
        <v>6250</v>
      </c>
      <c r="G19" s="21" t="s">
        <v>7</v>
      </c>
    </row>
    <row r="20" spans="1:7" ht="12.75">
      <c r="A20" s="86">
        <v>535</v>
      </c>
      <c r="B20" s="3" t="s">
        <v>272</v>
      </c>
      <c r="C20" s="24">
        <v>6949.54</v>
      </c>
      <c r="D20" s="161">
        <v>8531.29</v>
      </c>
      <c r="E20" s="161">
        <v>7250</v>
      </c>
      <c r="F20" s="161">
        <v>7250</v>
      </c>
      <c r="G20" s="21" t="s">
        <v>7</v>
      </c>
    </row>
    <row r="21" spans="1:7" ht="12.75">
      <c r="A21" s="86">
        <v>553</v>
      </c>
      <c r="B21" s="3" t="s">
        <v>277</v>
      </c>
      <c r="C21" s="24">
        <v>0</v>
      </c>
      <c r="D21" s="161">
        <v>0</v>
      </c>
      <c r="E21" s="161">
        <v>0</v>
      </c>
      <c r="F21" s="161">
        <v>0</v>
      </c>
      <c r="G21" s="21" t="s">
        <v>7</v>
      </c>
    </row>
    <row r="22" spans="1:7" ht="12.75">
      <c r="A22" s="86">
        <v>523</v>
      </c>
      <c r="B22" s="3" t="s">
        <v>43</v>
      </c>
      <c r="C22" s="30">
        <v>114.96</v>
      </c>
      <c r="D22" s="167">
        <v>55</v>
      </c>
      <c r="E22" s="167">
        <v>200</v>
      </c>
      <c r="F22" s="167">
        <v>100</v>
      </c>
      <c r="G22" s="21"/>
    </row>
    <row r="23" spans="1:7" ht="12.75">
      <c r="A23" s="3">
        <v>542</v>
      </c>
      <c r="B23" s="3" t="s">
        <v>696</v>
      </c>
      <c r="C23" s="24"/>
      <c r="E23" s="3"/>
      <c r="F23" s="22">
        <v>2000</v>
      </c>
      <c r="G23" s="21"/>
    </row>
    <row r="24" spans="1:8" ht="18" customHeight="1">
      <c r="A24" s="5" t="s">
        <v>30</v>
      </c>
      <c r="B24" s="5"/>
      <c r="C24" s="82">
        <f>SUM(C10:C23)</f>
        <v>40388.19</v>
      </c>
      <c r="D24" s="82">
        <f>SUM(D10:D23)</f>
        <v>65733.35999999999</v>
      </c>
      <c r="E24" s="82">
        <f>SUM(E10:E23)</f>
        <v>53861</v>
      </c>
      <c r="F24" s="82">
        <f>SUM(F10:F23)</f>
        <v>65536.59</v>
      </c>
      <c r="G24" s="23" t="s">
        <v>7</v>
      </c>
      <c r="H24" s="22">
        <f>SUM(D24-E24)</f>
        <v>11872.359999999986</v>
      </c>
    </row>
    <row r="25" spans="1:7" ht="12.75">
      <c r="A25" s="21"/>
      <c r="B25" s="21"/>
      <c r="C25" s="21"/>
      <c r="D25" s="55"/>
      <c r="E25" s="21"/>
      <c r="F25" s="21"/>
      <c r="G25" s="21"/>
    </row>
    <row r="26" spans="1:7" ht="12.75">
      <c r="A26" s="23" t="s">
        <v>13</v>
      </c>
      <c r="B26" s="21"/>
      <c r="C26" s="21"/>
      <c r="D26" s="55"/>
      <c r="E26" s="21"/>
      <c r="F26" s="21"/>
      <c r="G26" s="21"/>
    </row>
    <row r="27" spans="1:7" ht="12.75">
      <c r="A27" s="21"/>
      <c r="B27" s="21"/>
      <c r="C27" s="21"/>
      <c r="D27" s="55"/>
      <c r="E27" s="21"/>
      <c r="F27" s="21"/>
      <c r="G27" s="21"/>
    </row>
    <row r="28" spans="1:7" ht="12.75">
      <c r="A28" s="21">
        <v>401</v>
      </c>
      <c r="B28" s="21" t="s">
        <v>410</v>
      </c>
      <c r="C28" s="21">
        <v>4000</v>
      </c>
      <c r="D28" s="21">
        <v>4500</v>
      </c>
      <c r="E28" s="21">
        <v>4000</v>
      </c>
      <c r="F28" s="21">
        <v>5000</v>
      </c>
      <c r="G28" s="21"/>
    </row>
    <row r="29" spans="1:7" ht="12.75">
      <c r="A29" s="21">
        <v>408</v>
      </c>
      <c r="B29" s="21" t="s">
        <v>435</v>
      </c>
      <c r="C29" s="21">
        <v>925</v>
      </c>
      <c r="D29" s="21">
        <v>786</v>
      </c>
      <c r="E29" s="21">
        <v>925</v>
      </c>
      <c r="F29" s="21">
        <v>925</v>
      </c>
      <c r="G29" s="21"/>
    </row>
    <row r="30" spans="1:7" ht="12.75">
      <c r="A30" s="21">
        <v>422</v>
      </c>
      <c r="B30" s="21" t="s">
        <v>15</v>
      </c>
      <c r="C30" s="21">
        <v>906.68</v>
      </c>
      <c r="D30" s="21">
        <v>100</v>
      </c>
      <c r="E30" s="21">
        <v>0</v>
      </c>
      <c r="F30" s="21">
        <v>0</v>
      </c>
      <c r="G30" s="21"/>
    </row>
    <row r="31" spans="1:7" ht="12.75">
      <c r="A31" s="21">
        <v>423</v>
      </c>
      <c r="B31" s="21" t="s">
        <v>634</v>
      </c>
      <c r="C31" s="21">
        <v>273.08</v>
      </c>
      <c r="D31" s="21">
        <v>559.42</v>
      </c>
      <c r="E31" s="21">
        <v>0</v>
      </c>
      <c r="F31" s="21">
        <v>300</v>
      </c>
      <c r="G31" s="21"/>
    </row>
    <row r="32" spans="1:7" ht="12.75">
      <c r="A32" s="21">
        <v>426</v>
      </c>
      <c r="B32" s="21" t="s">
        <v>302</v>
      </c>
      <c r="C32" s="21">
        <v>0</v>
      </c>
      <c r="D32" s="21">
        <v>0</v>
      </c>
      <c r="E32" s="21">
        <v>0</v>
      </c>
      <c r="F32" s="21">
        <v>0</v>
      </c>
      <c r="G32" s="21"/>
    </row>
    <row r="33" spans="1:7" ht="12.75">
      <c r="A33" s="21">
        <v>429</v>
      </c>
      <c r="B33" s="21" t="s">
        <v>195</v>
      </c>
      <c r="C33" s="21">
        <v>0</v>
      </c>
      <c r="D33" s="21">
        <v>0</v>
      </c>
      <c r="E33" s="21">
        <v>0</v>
      </c>
      <c r="F33" s="21">
        <v>0</v>
      </c>
      <c r="G33" s="21"/>
    </row>
    <row r="34" spans="1:7" ht="12.75">
      <c r="A34" s="21">
        <v>461</v>
      </c>
      <c r="B34" s="21" t="s">
        <v>640</v>
      </c>
      <c r="C34" s="21"/>
      <c r="D34" s="21"/>
      <c r="E34" s="21"/>
      <c r="F34" s="21"/>
      <c r="G34" s="21"/>
    </row>
    <row r="35" spans="1:7" ht="12.75">
      <c r="A35" s="21"/>
      <c r="B35" s="21"/>
      <c r="C35" s="21"/>
      <c r="D35" s="55"/>
      <c r="E35" s="21"/>
      <c r="F35" s="21"/>
      <c r="G35" s="21"/>
    </row>
    <row r="36" spans="1:7" ht="12.75">
      <c r="A36" s="23" t="s">
        <v>16</v>
      </c>
      <c r="B36" s="21"/>
      <c r="C36" s="21">
        <f>SUM(C28:C33)</f>
        <v>6104.76</v>
      </c>
      <c r="D36" s="21">
        <f>SUM(D28:D33)</f>
        <v>5945.42</v>
      </c>
      <c r="E36" s="21">
        <f>SUM(E28:E33)</f>
        <v>4925</v>
      </c>
      <c r="F36" s="21">
        <f>SUM(F28:F33)</f>
        <v>6225</v>
      </c>
      <c r="G36" s="21"/>
    </row>
    <row r="37" spans="1:7" ht="12.75">
      <c r="A37" s="21" t="s">
        <v>635</v>
      </c>
      <c r="B37" s="21"/>
      <c r="C37" s="21">
        <f>SUM(C24)</f>
        <v>40388.19</v>
      </c>
      <c r="D37" s="21">
        <f>SUM(D24)</f>
        <v>65733.35999999999</v>
      </c>
      <c r="E37" s="21">
        <f>SUM(E24)</f>
        <v>53861</v>
      </c>
      <c r="F37" s="21">
        <f>SUM(F24)</f>
        <v>65536.59</v>
      </c>
      <c r="G37" s="21"/>
    </row>
    <row r="38" spans="1:7" ht="12.75">
      <c r="A38" s="21"/>
      <c r="B38" s="21"/>
      <c r="C38" s="21"/>
      <c r="D38" s="55"/>
      <c r="E38" s="21"/>
      <c r="F38" s="21"/>
      <c r="G38" s="21"/>
    </row>
    <row r="39" spans="1:7" ht="12.75">
      <c r="A39" s="21" t="s">
        <v>18</v>
      </c>
      <c r="B39" s="21"/>
      <c r="C39" s="23">
        <f>SUM(C36-C37)</f>
        <v>-34283.43</v>
      </c>
      <c r="D39" s="23">
        <f>SUM(D36-D37)</f>
        <v>-59787.93999999999</v>
      </c>
      <c r="E39" s="23">
        <f>SUM(E36-E37)</f>
        <v>-48936</v>
      </c>
      <c r="F39" s="23">
        <f>SUM(F36-F37)</f>
        <v>-59311.59</v>
      </c>
      <c r="G39" s="21"/>
    </row>
    <row r="40" spans="1:7" ht="12.75">
      <c r="A40" s="21"/>
      <c r="C40" s="21"/>
      <c r="D40" s="21"/>
      <c r="E40" s="21"/>
      <c r="F40" s="21"/>
      <c r="G40" s="21"/>
    </row>
    <row r="41" spans="1:7" ht="12.75">
      <c r="A41" s="21"/>
      <c r="B41" s="21"/>
      <c r="C41" s="21" t="s">
        <v>445</v>
      </c>
      <c r="D41" s="21"/>
      <c r="E41" s="21" t="s">
        <v>7</v>
      </c>
      <c r="F41" s="21" t="s">
        <v>7</v>
      </c>
      <c r="G41" s="21"/>
    </row>
    <row r="42" spans="1:7" ht="12.75">
      <c r="A42" s="21"/>
      <c r="B42" s="21"/>
      <c r="C42" s="21" t="s">
        <v>657</v>
      </c>
      <c r="D42" s="21"/>
      <c r="E42" s="21"/>
      <c r="F42" s="21"/>
      <c r="G42" s="21"/>
    </row>
    <row r="43" spans="1:7" ht="12.75">
      <c r="A43" s="21"/>
      <c r="B43" s="21" t="s">
        <v>7</v>
      </c>
      <c r="C43" s="21" t="s">
        <v>446</v>
      </c>
      <c r="D43" s="21"/>
      <c r="E43" s="21"/>
      <c r="F43" s="21"/>
      <c r="G43" s="21"/>
    </row>
    <row r="44" spans="1:7" ht="12.75">
      <c r="A44" s="21"/>
      <c r="C44" s="21"/>
      <c r="D44" s="21"/>
      <c r="E44" s="21"/>
      <c r="F44" s="21"/>
      <c r="G44" s="21"/>
    </row>
    <row r="45" spans="1:7" ht="12.75">
      <c r="A45" s="70" t="s">
        <v>283</v>
      </c>
      <c r="C45" s="21"/>
      <c r="D45" s="55"/>
      <c r="E45" s="21"/>
      <c r="F45" s="21"/>
      <c r="G45" s="21"/>
    </row>
    <row r="46" spans="1:7" ht="12.75">
      <c r="A46" s="21"/>
      <c r="B46" s="21"/>
      <c r="C46" s="21"/>
      <c r="D46" s="55"/>
      <c r="E46" s="21"/>
      <c r="F46" s="21"/>
      <c r="G46" s="21"/>
    </row>
    <row r="47" spans="1:7" s="53" customFormat="1" ht="12.75">
      <c r="A47" s="23">
        <v>511</v>
      </c>
      <c r="B47" s="23" t="s">
        <v>20</v>
      </c>
      <c r="C47" s="23"/>
      <c r="D47" s="56"/>
      <c r="E47" s="23"/>
      <c r="F47" s="23">
        <f>SUM(E52+E57+E63)</f>
        <v>38340</v>
      </c>
      <c r="G47" s="23"/>
    </row>
    <row r="48" spans="1:7" ht="12.75">
      <c r="A48" s="21"/>
      <c r="B48" s="21" t="s">
        <v>246</v>
      </c>
      <c r="C48" s="21"/>
      <c r="D48" s="55"/>
      <c r="E48" s="21"/>
      <c r="F48" s="21"/>
      <c r="G48" s="21"/>
    </row>
    <row r="49" spans="1:7" ht="12.75">
      <c r="A49" s="21"/>
      <c r="B49" s="21" t="s">
        <v>697</v>
      </c>
      <c r="C49" s="21"/>
      <c r="D49" s="55"/>
      <c r="E49" s="21">
        <v>23212.8</v>
      </c>
      <c r="F49" s="21"/>
      <c r="G49" s="21"/>
    </row>
    <row r="50" spans="1:7" ht="12.75">
      <c r="A50" s="21"/>
      <c r="B50" s="21" t="s">
        <v>669</v>
      </c>
      <c r="C50" s="21"/>
      <c r="D50" s="55"/>
      <c r="E50" s="21" t="s">
        <v>7</v>
      </c>
      <c r="F50" s="21"/>
      <c r="G50" s="21"/>
    </row>
    <row r="51" spans="1:7" ht="12.75">
      <c r="A51" s="21"/>
      <c r="B51" s="22" t="s">
        <v>666</v>
      </c>
      <c r="C51" s="21"/>
      <c r="D51" s="21"/>
      <c r="E51" s="32">
        <v>0</v>
      </c>
      <c r="F51" s="21"/>
      <c r="G51" s="21"/>
    </row>
    <row r="52" spans="1:7" ht="12.75">
      <c r="A52" s="21"/>
      <c r="B52" s="21"/>
      <c r="C52" s="21"/>
      <c r="D52" s="55"/>
      <c r="E52" s="51">
        <f>SUM(E49:E51)</f>
        <v>23212.8</v>
      </c>
      <c r="F52" s="21"/>
      <c r="G52" s="21"/>
    </row>
    <row r="53" spans="1:7" ht="12.75">
      <c r="A53" s="21"/>
      <c r="B53" s="21"/>
      <c r="C53" s="21"/>
      <c r="D53" s="55"/>
      <c r="E53" s="51"/>
      <c r="F53" s="21"/>
      <c r="G53" s="21"/>
    </row>
    <row r="54" spans="1:7" ht="12.75">
      <c r="A54" s="21"/>
      <c r="B54" s="21" t="s">
        <v>614</v>
      </c>
      <c r="C54" s="21"/>
      <c r="D54" s="55"/>
      <c r="E54" s="21"/>
      <c r="F54" s="21"/>
      <c r="G54" s="21"/>
    </row>
    <row r="55" spans="1:7" ht="12.75">
      <c r="A55" s="21" t="s">
        <v>7</v>
      </c>
      <c r="B55" s="21" t="s">
        <v>699</v>
      </c>
      <c r="C55" s="21"/>
      <c r="D55" s="55"/>
      <c r="E55" s="21">
        <v>3667.2</v>
      </c>
      <c r="F55" s="21"/>
      <c r="G55" s="21"/>
    </row>
    <row r="56" spans="1:7" ht="12.75">
      <c r="A56" s="21"/>
      <c r="B56" s="21" t="s">
        <v>590</v>
      </c>
      <c r="C56" s="21"/>
      <c r="D56" s="55"/>
      <c r="E56" s="21" t="s">
        <v>7</v>
      </c>
      <c r="F56" s="21"/>
      <c r="G56" s="21"/>
    </row>
    <row r="57" spans="1:7" ht="12.75">
      <c r="A57" s="21"/>
      <c r="B57" s="21"/>
      <c r="C57" s="21"/>
      <c r="D57" s="55"/>
      <c r="E57" s="51">
        <f>SUM(E55:E56)</f>
        <v>3667.2</v>
      </c>
      <c r="F57" s="21"/>
      <c r="G57" s="21"/>
    </row>
    <row r="58" spans="1:7" ht="12.75">
      <c r="A58" s="21"/>
      <c r="B58" s="21"/>
      <c r="C58" s="21"/>
      <c r="D58" s="55"/>
      <c r="E58" s="51"/>
      <c r="F58" s="21"/>
      <c r="G58" s="21"/>
    </row>
    <row r="59" spans="1:7" ht="12.75">
      <c r="A59" s="21"/>
      <c r="B59" s="21" t="s">
        <v>670</v>
      </c>
      <c r="C59" s="21"/>
      <c r="D59" s="55"/>
      <c r="E59" s="21"/>
      <c r="F59" s="21"/>
      <c r="G59" s="21"/>
    </row>
    <row r="60" spans="1:7" ht="12.75">
      <c r="A60" s="21"/>
      <c r="B60" s="21" t="s">
        <v>698</v>
      </c>
      <c r="C60" s="21"/>
      <c r="D60" s="55"/>
      <c r="E60" s="21">
        <v>11460</v>
      </c>
      <c r="F60" s="21"/>
      <c r="G60" s="21"/>
    </row>
    <row r="61" spans="1:7" ht="12.75">
      <c r="A61" s="21"/>
      <c r="B61" s="21" t="s">
        <v>590</v>
      </c>
      <c r="C61" s="21"/>
      <c r="D61" s="55"/>
      <c r="E61" s="21" t="s">
        <v>7</v>
      </c>
      <c r="F61" s="21"/>
      <c r="G61" s="21"/>
    </row>
    <row r="62" spans="1:7" ht="12.75">
      <c r="A62" s="21"/>
      <c r="B62" s="22" t="s">
        <v>31</v>
      </c>
      <c r="D62" s="55"/>
      <c r="E62" s="32"/>
      <c r="F62" s="21"/>
      <c r="G62" s="21"/>
    </row>
    <row r="63" spans="1:7" ht="12.75">
      <c r="A63" s="21"/>
      <c r="B63" s="21"/>
      <c r="C63" s="21"/>
      <c r="D63" s="55"/>
      <c r="E63" s="51">
        <f>SUM(E60:E62)</f>
        <v>11460</v>
      </c>
      <c r="F63" s="21"/>
      <c r="G63" s="21"/>
    </row>
    <row r="64" spans="1:7" ht="12.75">
      <c r="A64" s="21"/>
      <c r="B64" s="21"/>
      <c r="C64" s="21"/>
      <c r="D64" s="55"/>
      <c r="E64" s="51"/>
      <c r="F64" s="21"/>
      <c r="G64" s="21"/>
    </row>
    <row r="65" spans="1:7" s="53" customFormat="1" ht="12.75">
      <c r="A65" s="23">
        <v>513</v>
      </c>
      <c r="B65" s="23" t="s">
        <v>22</v>
      </c>
      <c r="C65" s="23"/>
      <c r="D65" s="56"/>
      <c r="E65" s="23"/>
      <c r="F65" s="23">
        <f>SUM(E66:E66)</f>
        <v>0</v>
      </c>
      <c r="G65" s="23"/>
    </row>
    <row r="66" spans="1:7" ht="12.75">
      <c r="A66" s="21"/>
      <c r="B66" s="21" t="s">
        <v>7</v>
      </c>
      <c r="C66" s="21"/>
      <c r="D66" s="55"/>
      <c r="E66" s="21" t="s">
        <v>7</v>
      </c>
      <c r="F66" s="21"/>
      <c r="G66" s="21"/>
    </row>
    <row r="67" spans="1:7" ht="12.75">
      <c r="A67" s="21"/>
      <c r="B67" s="21"/>
      <c r="C67" s="21"/>
      <c r="D67" s="55"/>
      <c r="E67" s="21"/>
      <c r="F67" s="21"/>
      <c r="G67" s="21"/>
    </row>
    <row r="68" spans="1:7" s="53" customFormat="1" ht="12.75">
      <c r="A68" s="23">
        <v>514</v>
      </c>
      <c r="B68" s="23" t="s">
        <v>23</v>
      </c>
      <c r="C68" s="23"/>
      <c r="D68" s="56"/>
      <c r="E68" s="23"/>
      <c r="F68" s="23">
        <f>+E69</f>
        <v>2933</v>
      </c>
      <c r="G68" s="23"/>
    </row>
    <row r="69" spans="1:7" ht="12.75">
      <c r="A69" s="21" t="s">
        <v>7</v>
      </c>
      <c r="B69" s="21" t="s">
        <v>7</v>
      </c>
      <c r="C69" s="21"/>
      <c r="D69" s="57"/>
      <c r="E69" s="21">
        <v>2933</v>
      </c>
      <c r="F69" s="21"/>
      <c r="G69" s="21"/>
    </row>
    <row r="70" spans="1:7" ht="12.75">
      <c r="A70" s="21"/>
      <c r="B70" s="21"/>
      <c r="C70" s="21"/>
      <c r="D70" s="55"/>
      <c r="E70" s="21"/>
      <c r="F70" s="21"/>
      <c r="G70" s="21"/>
    </row>
    <row r="71" spans="1:7" s="53" customFormat="1" ht="12.75">
      <c r="A71" s="23">
        <v>515</v>
      </c>
      <c r="B71" s="23" t="s">
        <v>24</v>
      </c>
      <c r="C71" s="23"/>
      <c r="D71" s="56"/>
      <c r="E71" s="23"/>
      <c r="F71" s="23">
        <f>SUM(E72:E73)</f>
        <v>0</v>
      </c>
      <c r="G71" s="23"/>
    </row>
    <row r="72" spans="1:7" ht="12.75">
      <c r="A72" s="21"/>
      <c r="B72" s="21" t="s">
        <v>7</v>
      </c>
      <c r="C72" s="21"/>
      <c r="D72" s="55"/>
      <c r="E72" s="21">
        <v>0</v>
      </c>
      <c r="F72" s="21"/>
      <c r="G72" s="21"/>
    </row>
    <row r="73" spans="1:7" ht="12.75">
      <c r="A73" s="21"/>
      <c r="B73" s="21" t="s">
        <v>7</v>
      </c>
      <c r="C73" s="21"/>
      <c r="D73" s="55"/>
      <c r="E73" s="21"/>
      <c r="F73" s="21"/>
      <c r="G73" s="21"/>
    </row>
    <row r="74" spans="1:7" ht="12.75">
      <c r="A74" s="21"/>
      <c r="B74" s="21"/>
      <c r="C74" s="21"/>
      <c r="D74" s="55"/>
      <c r="E74" s="21"/>
      <c r="F74" s="21"/>
      <c r="G74" s="21"/>
    </row>
    <row r="75" spans="1:7" s="53" customFormat="1" ht="12.75">
      <c r="A75" s="23">
        <v>521</v>
      </c>
      <c r="B75" s="23" t="s">
        <v>263</v>
      </c>
      <c r="C75" s="23"/>
      <c r="D75" s="56"/>
      <c r="E75" s="23"/>
      <c r="F75" s="23">
        <f>SUM(E76:E77)</f>
        <v>600</v>
      </c>
      <c r="G75" s="23"/>
    </row>
    <row r="76" spans="1:7" ht="12.75">
      <c r="A76" s="21"/>
      <c r="B76" s="21" t="s">
        <v>275</v>
      </c>
      <c r="C76" s="21"/>
      <c r="D76" s="55"/>
      <c r="E76" s="21">
        <v>600</v>
      </c>
      <c r="F76" s="21"/>
      <c r="G76" s="21"/>
    </row>
    <row r="77" spans="1:7" ht="12.75">
      <c r="A77" s="21"/>
      <c r="B77" s="21" t="s">
        <v>7</v>
      </c>
      <c r="C77" s="21"/>
      <c r="D77" s="55"/>
      <c r="E77" s="21" t="s">
        <v>7</v>
      </c>
      <c r="F77" s="21"/>
      <c r="G77" s="21"/>
    </row>
    <row r="78" spans="1:7" s="53" customFormat="1" ht="12.75">
      <c r="A78" s="23">
        <v>525</v>
      </c>
      <c r="B78" s="23" t="s">
        <v>27</v>
      </c>
      <c r="C78" s="23"/>
      <c r="D78" s="56"/>
      <c r="E78" s="23"/>
      <c r="F78" s="23">
        <f>SUM(E79:E79)</f>
        <v>3134</v>
      </c>
      <c r="G78" s="23"/>
    </row>
    <row r="79" spans="1:7" ht="12.75">
      <c r="A79" s="21"/>
      <c r="B79" s="21" t="s">
        <v>7</v>
      </c>
      <c r="C79" s="21"/>
      <c r="D79" s="55"/>
      <c r="E79" s="21">
        <v>3134</v>
      </c>
      <c r="F79" s="21"/>
      <c r="G79" s="21"/>
    </row>
    <row r="80" spans="1:7" ht="12.75">
      <c r="A80" s="21"/>
      <c r="B80" s="21"/>
      <c r="C80" s="21"/>
      <c r="D80" s="55"/>
      <c r="E80" s="21"/>
      <c r="F80" s="21"/>
      <c r="G80" s="21"/>
    </row>
    <row r="81" spans="1:7" s="53" customFormat="1" ht="12.75">
      <c r="A81" s="23">
        <v>526</v>
      </c>
      <c r="B81" s="23" t="s">
        <v>36</v>
      </c>
      <c r="C81" s="23"/>
      <c r="D81" s="56"/>
      <c r="E81" s="23"/>
      <c r="F81" s="23">
        <f>SUM(E82:E85)</f>
        <v>3910</v>
      </c>
      <c r="G81" s="23"/>
    </row>
    <row r="82" spans="1:7" ht="12.75">
      <c r="A82" s="21"/>
      <c r="B82" s="21" t="s">
        <v>218</v>
      </c>
      <c r="C82" s="21"/>
      <c r="D82" s="55"/>
      <c r="E82" s="21">
        <v>0</v>
      </c>
      <c r="F82" s="21"/>
      <c r="G82" s="21"/>
    </row>
    <row r="83" spans="1:7" ht="12.75">
      <c r="A83" s="21"/>
      <c r="B83" s="21" t="s">
        <v>220</v>
      </c>
      <c r="C83" s="21"/>
      <c r="D83" s="55"/>
      <c r="E83" s="21">
        <v>3910</v>
      </c>
      <c r="F83" s="21"/>
      <c r="G83" s="21"/>
    </row>
    <row r="84" spans="1:7" ht="12.75">
      <c r="A84" s="21"/>
      <c r="B84" s="21" t="s">
        <v>7</v>
      </c>
      <c r="C84" s="21"/>
      <c r="D84" s="55"/>
      <c r="E84" s="21" t="s">
        <v>7</v>
      </c>
      <c r="F84" s="21"/>
      <c r="G84" s="21"/>
    </row>
    <row r="85" spans="1:7" ht="12.75">
      <c r="A85" s="21"/>
      <c r="B85" s="21" t="s">
        <v>221</v>
      </c>
      <c r="C85" s="21"/>
      <c r="D85" s="55"/>
      <c r="E85" s="21" t="s">
        <v>7</v>
      </c>
      <c r="F85" s="21"/>
      <c r="G85" s="21"/>
    </row>
    <row r="86" ht="12.75">
      <c r="D86" s="57"/>
    </row>
    <row r="87" spans="1:7" s="53" customFormat="1" ht="12.75">
      <c r="A87" s="23">
        <v>524</v>
      </c>
      <c r="B87" s="23" t="s">
        <v>274</v>
      </c>
      <c r="C87" s="23"/>
      <c r="D87" s="56"/>
      <c r="E87" s="23"/>
      <c r="F87" s="23">
        <f>SUM(E88:E89)</f>
        <v>150</v>
      </c>
      <c r="G87" s="23"/>
    </row>
    <row r="88" spans="1:7" ht="12.75">
      <c r="A88" s="21"/>
      <c r="B88" s="21" t="s">
        <v>7</v>
      </c>
      <c r="C88" s="21"/>
      <c r="D88" s="55"/>
      <c r="E88" s="21">
        <v>150</v>
      </c>
      <c r="F88" s="21"/>
      <c r="G88" s="21"/>
    </row>
    <row r="89" spans="1:7" ht="12.75">
      <c r="A89" s="21"/>
      <c r="B89" s="21" t="s">
        <v>7</v>
      </c>
      <c r="C89" s="21"/>
      <c r="D89" s="55"/>
      <c r="E89" s="21" t="s">
        <v>7</v>
      </c>
      <c r="F89" s="21"/>
      <c r="G89" s="21"/>
    </row>
    <row r="90" spans="1:7" ht="12.75">
      <c r="A90" s="21"/>
      <c r="B90" s="21"/>
      <c r="C90" s="21"/>
      <c r="D90" s="55"/>
      <c r="E90" s="21"/>
      <c r="F90" s="21"/>
      <c r="G90" s="21"/>
    </row>
    <row r="91" spans="1:7" s="53" customFormat="1" ht="12.75">
      <c r="A91" s="127">
        <v>532</v>
      </c>
      <c r="B91" s="23" t="s">
        <v>273</v>
      </c>
      <c r="C91" s="23"/>
      <c r="D91" s="56"/>
      <c r="E91" s="23"/>
      <c r="F91" s="23">
        <f>+E92</f>
        <v>6250</v>
      </c>
      <c r="G91" s="23"/>
    </row>
    <row r="92" spans="1:7" ht="12.75">
      <c r="A92" s="21"/>
      <c r="B92" s="21" t="s">
        <v>7</v>
      </c>
      <c r="C92" s="21"/>
      <c r="D92" s="55"/>
      <c r="E92" s="21">
        <v>6250</v>
      </c>
      <c r="F92" s="21"/>
      <c r="G92" s="21"/>
    </row>
    <row r="93" spans="1:7" ht="12.75">
      <c r="A93" s="21"/>
      <c r="B93" s="21"/>
      <c r="C93" s="21"/>
      <c r="D93" s="55"/>
      <c r="E93" s="21"/>
      <c r="F93" s="21"/>
      <c r="G93" s="21"/>
    </row>
    <row r="94" spans="1:7" s="53" customFormat="1" ht="12.75">
      <c r="A94" s="23">
        <v>535</v>
      </c>
      <c r="B94" s="23" t="s">
        <v>272</v>
      </c>
      <c r="C94" s="23"/>
      <c r="D94" s="56"/>
      <c r="E94" s="23"/>
      <c r="F94" s="23">
        <f>SUM(E95:E95)</f>
        <v>7250</v>
      </c>
      <c r="G94" s="23"/>
    </row>
    <row r="95" spans="1:7" ht="12.75">
      <c r="A95" s="21"/>
      <c r="B95" s="21" t="s">
        <v>331</v>
      </c>
      <c r="C95" s="21"/>
      <c r="D95" s="55"/>
      <c r="E95" s="21">
        <v>7250</v>
      </c>
      <c r="F95" s="21"/>
      <c r="G95" s="21"/>
    </row>
    <row r="96" spans="1:7" ht="12.75">
      <c r="A96" s="21"/>
      <c r="B96" s="21"/>
      <c r="C96" s="21"/>
      <c r="D96" s="55"/>
      <c r="E96" s="21"/>
      <c r="F96" s="21"/>
      <c r="G96" s="21"/>
    </row>
    <row r="97" spans="1:7" s="53" customFormat="1" ht="12.75">
      <c r="A97" s="23">
        <v>523</v>
      </c>
      <c r="B97" s="23" t="s">
        <v>43</v>
      </c>
      <c r="C97" s="23"/>
      <c r="D97" s="56"/>
      <c r="E97" s="23"/>
      <c r="F97" s="23">
        <f>SUM(E98:E99)</f>
        <v>100</v>
      </c>
      <c r="G97" s="23"/>
    </row>
    <row r="98" spans="1:7" ht="12.75">
      <c r="A98" s="21"/>
      <c r="B98" s="21" t="s">
        <v>7</v>
      </c>
      <c r="C98" s="21"/>
      <c r="D98" s="55"/>
      <c r="E98" s="21">
        <v>100</v>
      </c>
      <c r="F98" s="21"/>
      <c r="G98" s="21"/>
    </row>
    <row r="99" spans="1:7" ht="12.75">
      <c r="A99" s="21"/>
      <c r="B99" s="21" t="s">
        <v>7</v>
      </c>
      <c r="C99" s="21"/>
      <c r="D99" s="55"/>
      <c r="E99" s="21" t="s">
        <v>7</v>
      </c>
      <c r="F99" s="21"/>
      <c r="G99" s="21"/>
    </row>
    <row r="100" spans="1:7" ht="12.75">
      <c r="A100" s="21"/>
      <c r="F100" s="21"/>
      <c r="G100" s="21"/>
    </row>
    <row r="101" spans="1:6" ht="12.75">
      <c r="A101" s="23">
        <v>522</v>
      </c>
      <c r="B101" s="23" t="s">
        <v>219</v>
      </c>
      <c r="C101" s="23"/>
      <c r="D101" s="56"/>
      <c r="E101" s="23"/>
      <c r="F101" s="23">
        <f>SUM(E102:E103)</f>
        <v>870</v>
      </c>
    </row>
    <row r="102" spans="1:6" ht="12.75">
      <c r="A102" s="21"/>
      <c r="B102" s="21" t="s">
        <v>185</v>
      </c>
      <c r="C102" s="21"/>
      <c r="D102" s="55"/>
      <c r="E102" s="21">
        <v>870</v>
      </c>
      <c r="F102" s="21"/>
    </row>
    <row r="103" spans="1:6" ht="12.75">
      <c r="A103" s="21"/>
      <c r="B103" s="21"/>
      <c r="C103" s="21"/>
      <c r="D103" s="55"/>
      <c r="E103" s="21"/>
      <c r="F103" s="21"/>
    </row>
    <row r="104" spans="1:6" ht="12.75">
      <c r="A104" s="21">
        <v>553</v>
      </c>
      <c r="B104" s="21" t="s">
        <v>277</v>
      </c>
      <c r="C104" s="21"/>
      <c r="D104" s="55"/>
      <c r="E104" s="21">
        <v>0</v>
      </c>
      <c r="F104" s="23">
        <v>0</v>
      </c>
    </row>
    <row r="105" spans="1:6" ht="12.75">
      <c r="A105" s="21"/>
      <c r="B105" s="21" t="s">
        <v>7</v>
      </c>
      <c r="C105" s="21"/>
      <c r="D105" s="55"/>
      <c r="E105" s="21" t="s">
        <v>7</v>
      </c>
      <c r="F105" s="21"/>
    </row>
    <row r="106" spans="1:6" ht="12.75">
      <c r="A106" s="53"/>
      <c r="B106" s="53" t="s">
        <v>330</v>
      </c>
      <c r="C106" s="53"/>
      <c r="D106" s="53"/>
      <c r="E106" s="53"/>
      <c r="F106" s="53"/>
    </row>
    <row r="107" spans="1:6" ht="12.75">
      <c r="A107" s="53"/>
      <c r="B107" s="53"/>
      <c r="C107" s="53"/>
      <c r="D107" s="53"/>
      <c r="E107" s="53"/>
      <c r="F107" s="53">
        <f>SUM(F47:F105)</f>
        <v>63537</v>
      </c>
    </row>
  </sheetData>
  <sheetProtection/>
  <mergeCells count="2">
    <mergeCell ref="A1:F1"/>
    <mergeCell ref="A2:F2"/>
  </mergeCells>
  <printOptions/>
  <pageMargins left="0.7" right="0.7" top="0.8" bottom="0.6" header="0.5" footer="0.5"/>
  <pageSetup horizontalDpi="300" verticalDpi="300" orientation="portrait" r:id="rId1"/>
  <headerFooter alignWithMargins="0">
    <oddFooter>&amp;CPage &amp;P
&amp;R&amp;A</oddFooter>
  </headerFooter>
  <rowBreaks count="1" manualBreakCount="1">
    <brk id="3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showGridLines="0" showZeros="0" zoomScaleSheetLayoutView="100" workbookViewId="0" topLeftCell="A7">
      <selection activeCell="D23" sqref="D23"/>
    </sheetView>
  </sheetViews>
  <sheetFormatPr defaultColWidth="9.00390625" defaultRowHeight="12.75"/>
  <cols>
    <col min="1" max="1" width="4.625" style="73" customWidth="1"/>
    <col min="2" max="2" width="20.125" style="73" customWidth="1"/>
    <col min="3" max="7" width="11.625" style="73" customWidth="1"/>
    <col min="8" max="16384" width="9.00390625" style="73" customWidth="1"/>
  </cols>
  <sheetData>
    <row r="1" spans="1:6" s="71" customFormat="1" ht="12.75">
      <c r="A1" s="210" t="s">
        <v>267</v>
      </c>
      <c r="B1" s="211"/>
      <c r="C1" s="211"/>
      <c r="D1" s="211"/>
      <c r="E1" s="211"/>
      <c r="F1" s="211"/>
    </row>
    <row r="2" spans="1:6" ht="12.75">
      <c r="A2" s="210" t="s">
        <v>449</v>
      </c>
      <c r="B2" s="212"/>
      <c r="C2" s="212"/>
      <c r="D2" s="212"/>
      <c r="E2" s="212"/>
      <c r="F2" s="212"/>
    </row>
    <row r="3" spans="1:7" ht="12.75">
      <c r="A3" s="19"/>
      <c r="B3" s="19"/>
      <c r="C3" s="19"/>
      <c r="D3" s="19"/>
      <c r="E3" s="19"/>
      <c r="F3" s="19"/>
      <c r="G3" s="72"/>
    </row>
    <row r="4" spans="1:7" ht="12.75">
      <c r="A4" s="19"/>
      <c r="B4" s="19"/>
      <c r="C4" s="59" t="str">
        <f>GENERAL!C4</f>
        <v>10-1-14</v>
      </c>
      <c r="D4" s="59" t="str">
        <f>GENERAL!D4</f>
        <v>10-1-15</v>
      </c>
      <c r="E4" s="59" t="str">
        <f>GENERAL!E4</f>
        <v>10-1-15</v>
      </c>
      <c r="F4" s="59" t="str">
        <f>GENERAL!F4</f>
        <v>10-1-16</v>
      </c>
      <c r="G4" s="74"/>
    </row>
    <row r="5" spans="1:7" ht="12.75">
      <c r="A5" s="19"/>
      <c r="B5" s="19"/>
      <c r="C5" s="36" t="s">
        <v>2</v>
      </c>
      <c r="D5" s="36" t="s">
        <v>2</v>
      </c>
      <c r="E5" s="36" t="s">
        <v>2</v>
      </c>
      <c r="F5" s="36" t="s">
        <v>2</v>
      </c>
      <c r="G5" s="72"/>
    </row>
    <row r="6" spans="1:7" ht="12.75">
      <c r="A6" s="19"/>
      <c r="B6" s="19"/>
      <c r="C6" s="59" t="str">
        <f>GENERAL!C6</f>
        <v>9-30-15</v>
      </c>
      <c r="D6" s="59" t="str">
        <f>GENERAL!D6</f>
        <v>9-30-16</v>
      </c>
      <c r="E6" s="59" t="str">
        <f>GENERAL!E6</f>
        <v>9-30-16</v>
      </c>
      <c r="F6" s="59" t="str">
        <f>GENERAL!F6</f>
        <v>9-30-17</v>
      </c>
      <c r="G6" s="74"/>
    </row>
    <row r="7" spans="1:7" ht="12.75">
      <c r="A7" s="19"/>
      <c r="B7" s="19"/>
      <c r="C7" s="7" t="s">
        <v>3</v>
      </c>
      <c r="D7" s="36" t="s">
        <v>278</v>
      </c>
      <c r="E7" s="36" t="s">
        <v>191</v>
      </c>
      <c r="F7" s="36" t="s">
        <v>191</v>
      </c>
      <c r="G7" s="72"/>
    </row>
    <row r="8" spans="1:7" ht="12.75">
      <c r="A8" s="19"/>
      <c r="B8" s="19"/>
      <c r="C8" s="19"/>
      <c r="D8" s="19"/>
      <c r="E8" s="19"/>
      <c r="F8" s="19"/>
      <c r="G8" s="72"/>
    </row>
    <row r="9" spans="1:7" ht="12.75">
      <c r="A9" s="69" t="s">
        <v>4</v>
      </c>
      <c r="B9" s="69"/>
      <c r="C9" s="19"/>
      <c r="D9" s="19"/>
      <c r="E9" s="79"/>
      <c r="F9" s="19"/>
      <c r="G9" s="72"/>
    </row>
    <row r="10" spans="1:7" ht="12.75">
      <c r="A10" s="19">
        <v>511</v>
      </c>
      <c r="B10" s="19" t="s">
        <v>262</v>
      </c>
      <c r="C10" s="79">
        <v>8148.93</v>
      </c>
      <c r="D10" s="170">
        <v>4038.26</v>
      </c>
      <c r="E10" s="170">
        <v>15120</v>
      </c>
      <c r="F10" s="170">
        <v>5040</v>
      </c>
      <c r="G10" s="72" t="s">
        <v>7</v>
      </c>
    </row>
    <row r="11" spans="1:7" ht="12.75">
      <c r="A11" s="19">
        <v>514</v>
      </c>
      <c r="B11" s="19" t="s">
        <v>23</v>
      </c>
      <c r="C11" s="79">
        <v>623.23</v>
      </c>
      <c r="D11" s="170">
        <v>310</v>
      </c>
      <c r="E11" s="170">
        <v>1142</v>
      </c>
      <c r="F11" s="170">
        <v>385.56</v>
      </c>
      <c r="G11" s="72" t="s">
        <v>7</v>
      </c>
    </row>
    <row r="12" spans="1:7" ht="12.75">
      <c r="A12" s="126">
        <v>532</v>
      </c>
      <c r="B12" s="19" t="s">
        <v>264</v>
      </c>
      <c r="C12" s="79">
        <v>14599.11</v>
      </c>
      <c r="D12" s="170">
        <v>4471.47</v>
      </c>
      <c r="E12" s="170">
        <v>13000</v>
      </c>
      <c r="F12" s="170">
        <v>5000</v>
      </c>
      <c r="G12" s="72" t="s">
        <v>7</v>
      </c>
    </row>
    <row r="13" spans="1:7" ht="12.75">
      <c r="A13" s="126">
        <v>521</v>
      </c>
      <c r="B13" s="19" t="s">
        <v>263</v>
      </c>
      <c r="C13" s="79">
        <v>0</v>
      </c>
      <c r="D13" s="170">
        <v>150</v>
      </c>
      <c r="E13" s="170">
        <v>0</v>
      </c>
      <c r="F13" s="170">
        <v>0</v>
      </c>
      <c r="G13" s="72"/>
    </row>
    <row r="14" spans="1:7" ht="12.75">
      <c r="A14" s="19">
        <v>525</v>
      </c>
      <c r="B14" s="19" t="s">
        <v>27</v>
      </c>
      <c r="C14" s="79">
        <v>2068.84</v>
      </c>
      <c r="D14" s="170">
        <v>1858.44</v>
      </c>
      <c r="E14" s="170">
        <v>2276</v>
      </c>
      <c r="F14" s="170">
        <v>2043.8</v>
      </c>
      <c r="G14" s="72" t="s">
        <v>7</v>
      </c>
    </row>
    <row r="15" spans="1:7" ht="12.75">
      <c r="A15" s="19">
        <v>526</v>
      </c>
      <c r="B15" s="19" t="s">
        <v>36</v>
      </c>
      <c r="C15" s="79">
        <v>573.6</v>
      </c>
      <c r="D15" s="170">
        <v>757.97</v>
      </c>
      <c r="E15" s="170">
        <v>750</v>
      </c>
      <c r="F15" s="170">
        <v>748</v>
      </c>
      <c r="G15" s="72" t="s">
        <v>7</v>
      </c>
    </row>
    <row r="16" spans="1:7" ht="12.75">
      <c r="A16" s="19">
        <v>523</v>
      </c>
      <c r="B16" s="19" t="s">
        <v>43</v>
      </c>
      <c r="C16" s="79">
        <v>219.28</v>
      </c>
      <c r="D16" s="170">
        <v>0</v>
      </c>
      <c r="E16" s="170">
        <v>100</v>
      </c>
      <c r="F16" s="170">
        <v>100</v>
      </c>
      <c r="G16" s="72" t="s">
        <v>7</v>
      </c>
    </row>
    <row r="17" spans="1:7" ht="12.75">
      <c r="A17" s="19">
        <v>524</v>
      </c>
      <c r="B17" s="19" t="s">
        <v>266</v>
      </c>
      <c r="C17" s="79">
        <v>173.56</v>
      </c>
      <c r="D17" s="170">
        <v>338.64</v>
      </c>
      <c r="E17" s="170">
        <v>150</v>
      </c>
      <c r="F17" s="170">
        <v>200</v>
      </c>
      <c r="G17" s="72"/>
    </row>
    <row r="18" spans="1:7" ht="12.75">
      <c r="A18" s="19">
        <v>554</v>
      </c>
      <c r="B18" s="19" t="s">
        <v>276</v>
      </c>
      <c r="C18" s="79">
        <v>8150</v>
      </c>
      <c r="D18" s="170">
        <v>0</v>
      </c>
      <c r="E18" s="170">
        <v>5000</v>
      </c>
      <c r="F18" s="170">
        <v>15000</v>
      </c>
      <c r="G18" s="72" t="s">
        <v>720</v>
      </c>
    </row>
    <row r="19" spans="1:7" ht="12.75">
      <c r="A19" s="126">
        <v>553</v>
      </c>
      <c r="B19" s="19" t="s">
        <v>39</v>
      </c>
      <c r="C19" s="79">
        <v>3317.33</v>
      </c>
      <c r="D19" s="170">
        <v>0</v>
      </c>
      <c r="E19" s="170">
        <v>1500</v>
      </c>
      <c r="F19" s="170">
        <v>1500</v>
      </c>
      <c r="G19" s="72"/>
    </row>
    <row r="20" spans="1:7" ht="12.75">
      <c r="A20" s="126">
        <v>561</v>
      </c>
      <c r="B20" s="19" t="s">
        <v>265</v>
      </c>
      <c r="C20" s="79">
        <v>0</v>
      </c>
      <c r="D20" s="170" t="s">
        <v>7</v>
      </c>
      <c r="E20" s="170">
        <v>0</v>
      </c>
      <c r="F20" s="170">
        <v>0</v>
      </c>
      <c r="G20" s="72"/>
    </row>
    <row r="21" spans="1:7" ht="12.75">
      <c r="A21" s="126">
        <v>562</v>
      </c>
      <c r="B21" s="19" t="s">
        <v>195</v>
      </c>
      <c r="C21" s="80">
        <v>0</v>
      </c>
      <c r="D21" s="171" t="s">
        <v>7</v>
      </c>
      <c r="E21" s="171">
        <v>0</v>
      </c>
      <c r="F21" s="171">
        <v>0</v>
      </c>
      <c r="G21" s="72"/>
    </row>
    <row r="22" spans="1:7" ht="12.75">
      <c r="A22" s="19"/>
      <c r="B22" s="19"/>
      <c r="C22" s="19"/>
      <c r="E22" s="19"/>
      <c r="G22" s="72"/>
    </row>
    <row r="23" spans="1:8" ht="19.5" customHeight="1">
      <c r="A23" s="69" t="s">
        <v>30</v>
      </c>
      <c r="B23" s="69"/>
      <c r="C23" s="26">
        <f>SUM(C10:C22)</f>
        <v>37873.880000000005</v>
      </c>
      <c r="D23" s="81">
        <f>SUM(D10:D22)</f>
        <v>11924.779999999999</v>
      </c>
      <c r="E23" s="81">
        <f>SUM(E10:E22)</f>
        <v>39038</v>
      </c>
      <c r="F23" s="81">
        <f>SUM(F10:F22)</f>
        <v>30017.36</v>
      </c>
      <c r="G23" s="70">
        <f>SUM(G10:G20)</f>
        <v>0</v>
      </c>
      <c r="H23" s="73">
        <f>SUM(D23-E23)</f>
        <v>-27113.22</v>
      </c>
    </row>
    <row r="24" spans="1:7" ht="12.75">
      <c r="A24" s="72"/>
      <c r="B24" s="72"/>
      <c r="C24" s="72"/>
      <c r="D24" s="72"/>
      <c r="E24" s="72"/>
      <c r="F24" s="72"/>
      <c r="G24" s="70" t="s">
        <v>7</v>
      </c>
    </row>
    <row r="25" spans="1:7" ht="12.75">
      <c r="A25" s="72"/>
      <c r="C25" s="72"/>
      <c r="D25" s="72"/>
      <c r="E25" s="72"/>
      <c r="F25" s="72"/>
      <c r="G25" s="72"/>
    </row>
    <row r="26" spans="1:8" ht="12.75">
      <c r="A26" s="72"/>
      <c r="B26" s="72"/>
      <c r="C26" s="72" t="s">
        <v>320</v>
      </c>
      <c r="D26" s="72"/>
      <c r="E26" s="72" t="s">
        <v>7</v>
      </c>
      <c r="F26" s="72" t="s">
        <v>7</v>
      </c>
      <c r="G26" s="21"/>
      <c r="H26" s="73" t="s">
        <v>7</v>
      </c>
    </row>
    <row r="27" spans="1:7" ht="12.75">
      <c r="A27" s="72"/>
      <c r="B27" s="72"/>
      <c r="C27" s="21" t="s">
        <v>658</v>
      </c>
      <c r="D27" s="72"/>
      <c r="E27" s="72"/>
      <c r="F27" s="72"/>
      <c r="G27" s="21"/>
    </row>
    <row r="28" spans="1:7" ht="12.75">
      <c r="A28" s="72"/>
      <c r="B28" s="72" t="s">
        <v>7</v>
      </c>
      <c r="C28" s="72" t="s">
        <v>447</v>
      </c>
      <c r="D28" s="72"/>
      <c r="E28" s="72"/>
      <c r="F28" s="72"/>
      <c r="G28" s="21"/>
    </row>
    <row r="29" spans="1:7" ht="12.75">
      <c r="A29" s="72"/>
      <c r="B29" s="72"/>
      <c r="C29" s="72"/>
      <c r="D29" s="72"/>
      <c r="E29" s="72"/>
      <c r="G29" s="72"/>
    </row>
    <row r="30" spans="1:7" ht="12.75">
      <c r="A30" s="71"/>
      <c r="B30" s="70" t="s">
        <v>283</v>
      </c>
      <c r="C30" s="72"/>
      <c r="D30" s="72"/>
      <c r="E30" s="75"/>
      <c r="F30" s="72"/>
      <c r="G30" s="72"/>
    </row>
    <row r="31" spans="1:7" s="71" customFormat="1" ht="12.75">
      <c r="A31" s="72"/>
      <c r="B31" s="72"/>
      <c r="C31" s="70"/>
      <c r="D31" s="70"/>
      <c r="E31" s="70"/>
      <c r="F31" s="70" t="s">
        <v>7</v>
      </c>
      <c r="G31" s="70"/>
    </row>
    <row r="32" spans="1:6" ht="12.75">
      <c r="A32" s="70">
        <v>511</v>
      </c>
      <c r="B32" s="70" t="s">
        <v>20</v>
      </c>
      <c r="C32" s="72"/>
      <c r="D32" s="72" t="s">
        <v>7</v>
      </c>
      <c r="E32" s="72" t="s">
        <v>7</v>
      </c>
      <c r="F32" s="70">
        <v>5040</v>
      </c>
    </row>
    <row r="33" spans="1:6" ht="12.75">
      <c r="A33" s="72"/>
      <c r="B33" s="72"/>
      <c r="C33" s="72"/>
      <c r="D33" s="72"/>
      <c r="E33" s="72"/>
      <c r="F33" s="70"/>
    </row>
    <row r="34" spans="1:6" ht="12.75">
      <c r="A34" s="72"/>
      <c r="B34" s="72" t="s">
        <v>690</v>
      </c>
      <c r="C34" s="72"/>
      <c r="D34" s="72"/>
      <c r="E34" s="72">
        <v>5040</v>
      </c>
      <c r="F34" s="70"/>
    </row>
    <row r="35" spans="1:6" s="71" customFormat="1" ht="12.75">
      <c r="A35" s="72"/>
      <c r="B35" s="72"/>
      <c r="C35" s="70"/>
      <c r="D35" s="70"/>
      <c r="E35" s="70"/>
      <c r="F35" s="70"/>
    </row>
    <row r="36" spans="1:6" ht="12.75">
      <c r="A36" s="70">
        <v>514</v>
      </c>
      <c r="B36" s="70" t="s">
        <v>23</v>
      </c>
      <c r="C36" s="72"/>
      <c r="E36" s="72"/>
      <c r="F36" s="70">
        <v>386</v>
      </c>
    </row>
    <row r="37" spans="1:6" ht="12.75">
      <c r="A37" s="72"/>
      <c r="B37" s="72" t="s">
        <v>7</v>
      </c>
      <c r="C37" s="72"/>
      <c r="E37" s="72">
        <v>386</v>
      </c>
      <c r="F37" s="70" t="s">
        <v>7</v>
      </c>
    </row>
    <row r="38" spans="1:6" ht="12.75">
      <c r="A38" s="72"/>
      <c r="B38" s="72"/>
      <c r="C38" s="70"/>
      <c r="E38" s="70"/>
      <c r="F38" s="70" t="s">
        <v>7</v>
      </c>
    </row>
    <row r="39" spans="1:6" ht="12.75">
      <c r="A39" s="70">
        <v>521</v>
      </c>
      <c r="B39" s="70" t="s">
        <v>263</v>
      </c>
      <c r="C39" s="72"/>
      <c r="E39" s="72"/>
      <c r="F39" s="70">
        <f>SUM(E40)</f>
        <v>0</v>
      </c>
    </row>
    <row r="40" spans="1:6" ht="12.75">
      <c r="A40" s="72"/>
      <c r="B40" s="72" t="s">
        <v>289</v>
      </c>
      <c r="C40" s="72"/>
      <c r="E40" s="72">
        <v>0</v>
      </c>
      <c r="F40" s="70" t="s">
        <v>7</v>
      </c>
    </row>
    <row r="41" spans="1:6" ht="12.75">
      <c r="A41" s="72"/>
      <c r="B41" s="72"/>
      <c r="C41" s="70"/>
      <c r="E41" s="70"/>
      <c r="F41" s="70" t="s">
        <v>7</v>
      </c>
    </row>
    <row r="42" spans="1:6" ht="12.75">
      <c r="A42" s="70">
        <v>523</v>
      </c>
      <c r="B42" s="70" t="s">
        <v>43</v>
      </c>
      <c r="C42" s="72"/>
      <c r="E42" s="72"/>
      <c r="F42" s="70">
        <f>E43</f>
        <v>100</v>
      </c>
    </row>
    <row r="43" spans="1:6" ht="12.75">
      <c r="A43" s="72"/>
      <c r="B43" s="72" t="s">
        <v>288</v>
      </c>
      <c r="C43" s="72"/>
      <c r="E43" s="72">
        <v>100</v>
      </c>
      <c r="F43" s="70" t="s">
        <v>7</v>
      </c>
    </row>
    <row r="44" spans="1:6" ht="12.75">
      <c r="A44" s="72"/>
      <c r="B44" s="72"/>
      <c r="C44" s="70"/>
      <c r="E44" s="70"/>
      <c r="F44" s="70" t="s">
        <v>7</v>
      </c>
    </row>
    <row r="45" spans="1:6" ht="12.75">
      <c r="A45" s="70">
        <v>524</v>
      </c>
      <c r="B45" s="70" t="s">
        <v>266</v>
      </c>
      <c r="C45" s="72"/>
      <c r="E45" s="72"/>
      <c r="F45" s="70">
        <f>E46</f>
        <v>200</v>
      </c>
    </row>
    <row r="46" spans="1:6" ht="12.75">
      <c r="A46" s="72"/>
      <c r="B46" s="72" t="s">
        <v>290</v>
      </c>
      <c r="C46" s="72"/>
      <c r="E46" s="72">
        <v>200</v>
      </c>
      <c r="F46" s="70" t="s">
        <v>7</v>
      </c>
    </row>
    <row r="47" spans="1:6" ht="12.75">
      <c r="A47" s="72"/>
      <c r="B47" s="72"/>
      <c r="C47" s="70"/>
      <c r="E47" s="70"/>
      <c r="F47" s="70" t="s">
        <v>7</v>
      </c>
    </row>
    <row r="48" spans="1:6" ht="12.75">
      <c r="A48" s="70">
        <v>525</v>
      </c>
      <c r="B48" s="70" t="s">
        <v>27</v>
      </c>
      <c r="C48" s="72"/>
      <c r="E48" s="72"/>
      <c r="F48" s="70">
        <f>E49</f>
        <v>2044</v>
      </c>
    </row>
    <row r="49" spans="1:6" ht="12.75">
      <c r="A49" s="72"/>
      <c r="B49" s="72" t="s">
        <v>291</v>
      </c>
      <c r="C49" s="72"/>
      <c r="E49" s="72">
        <v>2044</v>
      </c>
      <c r="F49" s="70" t="s">
        <v>7</v>
      </c>
    </row>
    <row r="50" spans="1:6" ht="12.75">
      <c r="A50" s="72"/>
      <c r="B50" s="72"/>
      <c r="C50" s="70"/>
      <c r="E50" s="70"/>
      <c r="F50" s="70" t="s">
        <v>7</v>
      </c>
    </row>
    <row r="51" spans="1:6" ht="12.75">
      <c r="A51" s="70">
        <v>526</v>
      </c>
      <c r="B51" s="70" t="s">
        <v>36</v>
      </c>
      <c r="C51" s="72"/>
      <c r="E51" s="72"/>
      <c r="F51" s="70">
        <f>E52</f>
        <v>748</v>
      </c>
    </row>
    <row r="52" spans="1:6" ht="12.75">
      <c r="A52" s="72"/>
      <c r="B52" s="72" t="s">
        <v>285</v>
      </c>
      <c r="C52" s="72"/>
      <c r="E52" s="72">
        <v>748</v>
      </c>
      <c r="F52" s="70" t="s">
        <v>7</v>
      </c>
    </row>
    <row r="53" spans="1:6" ht="12.75">
      <c r="A53" s="72"/>
      <c r="B53" s="72"/>
      <c r="C53" s="70"/>
      <c r="E53" s="70"/>
      <c r="F53" s="70" t="s">
        <v>7</v>
      </c>
    </row>
    <row r="54" spans="1:6" ht="12.75">
      <c r="A54" s="70">
        <v>532</v>
      </c>
      <c r="B54" s="70" t="s">
        <v>264</v>
      </c>
      <c r="C54" s="72"/>
      <c r="E54" s="72"/>
      <c r="F54" s="70">
        <f>E55</f>
        <v>5000</v>
      </c>
    </row>
    <row r="55" spans="1:6" ht="12.75">
      <c r="A55" s="72"/>
      <c r="B55" s="72" t="s">
        <v>292</v>
      </c>
      <c r="C55" s="72"/>
      <c r="E55" s="73">
        <v>5000</v>
      </c>
      <c r="F55" s="70"/>
    </row>
    <row r="56" spans="1:6" s="71" customFormat="1" ht="12.75">
      <c r="A56" s="72"/>
      <c r="B56" s="72"/>
      <c r="C56" s="70"/>
      <c r="E56" s="70"/>
      <c r="F56" s="70" t="s">
        <v>7</v>
      </c>
    </row>
    <row r="57" spans="1:6" ht="12.75">
      <c r="A57" s="70">
        <v>553</v>
      </c>
      <c r="B57" s="70" t="s">
        <v>41</v>
      </c>
      <c r="C57" s="72"/>
      <c r="E57" s="72"/>
      <c r="F57" s="70">
        <f>SUM(E58:E59)</f>
        <v>1500</v>
      </c>
    </row>
    <row r="58" spans="1:6" ht="12.75">
      <c r="A58" s="72"/>
      <c r="B58" s="72" t="s">
        <v>293</v>
      </c>
      <c r="C58" s="72"/>
      <c r="E58" s="72">
        <v>1500</v>
      </c>
      <c r="F58" s="72" t="s">
        <v>7</v>
      </c>
    </row>
    <row r="59" spans="1:6" s="71" customFormat="1" ht="12.75">
      <c r="A59" s="72"/>
      <c r="B59" s="72" t="s">
        <v>294</v>
      </c>
      <c r="C59" s="72"/>
      <c r="E59" s="72"/>
      <c r="F59" s="72" t="s">
        <v>7</v>
      </c>
    </row>
    <row r="60" spans="1:6" ht="12.75">
      <c r="A60" s="72"/>
      <c r="C60" s="70"/>
      <c r="E60" s="70"/>
      <c r="F60" s="70" t="s">
        <v>7</v>
      </c>
    </row>
    <row r="61" spans="1:7" ht="12.75">
      <c r="A61" s="70">
        <v>554</v>
      </c>
      <c r="B61" s="70" t="s">
        <v>295</v>
      </c>
      <c r="C61" s="70"/>
      <c r="E61" s="72"/>
      <c r="F61" s="70">
        <f>SUM(E62:E63)</f>
        <v>15000</v>
      </c>
      <c r="G61" s="73" t="s">
        <v>7</v>
      </c>
    </row>
    <row r="62" spans="1:6" ht="12.75">
      <c r="A62" s="70"/>
      <c r="B62" s="72" t="s">
        <v>296</v>
      </c>
      <c r="C62" s="70"/>
      <c r="E62" s="72">
        <v>15000</v>
      </c>
      <c r="F62" s="72" t="s">
        <v>7</v>
      </c>
    </row>
    <row r="63" spans="1:6" ht="12.75">
      <c r="A63" s="70"/>
      <c r="B63" s="70"/>
      <c r="C63" s="70"/>
      <c r="E63" s="70"/>
      <c r="F63" s="70"/>
    </row>
    <row r="64" spans="1:6" s="71" customFormat="1" ht="12.75">
      <c r="A64" s="71">
        <v>561</v>
      </c>
      <c r="B64" s="70" t="s">
        <v>265</v>
      </c>
      <c r="C64" s="70"/>
      <c r="E64" s="70"/>
      <c r="F64" s="70">
        <f>E65</f>
        <v>0</v>
      </c>
    </row>
    <row r="65" spans="1:6" s="71" customFormat="1" ht="12.75">
      <c r="A65" s="73"/>
      <c r="B65" s="73" t="s">
        <v>297</v>
      </c>
      <c r="C65" s="73"/>
      <c r="E65" s="73">
        <v>0</v>
      </c>
      <c r="F65" s="73" t="s">
        <v>7</v>
      </c>
    </row>
    <row r="67" spans="1:6" ht="12.75">
      <c r="A67" s="71">
        <v>562</v>
      </c>
      <c r="B67" s="71" t="s">
        <v>195</v>
      </c>
      <c r="C67" s="71"/>
      <c r="E67" s="71"/>
      <c r="F67" s="71">
        <f>E68</f>
        <v>0</v>
      </c>
    </row>
    <row r="68" spans="2:6" ht="12.75">
      <c r="B68" s="73" t="s">
        <v>298</v>
      </c>
      <c r="E68" s="73">
        <v>0</v>
      </c>
      <c r="F68" s="73" t="s">
        <v>7</v>
      </c>
    </row>
    <row r="70" spans="2:6" ht="12.75">
      <c r="B70" s="73" t="s">
        <v>330</v>
      </c>
      <c r="F70" s="71">
        <f>SUM(F29:F69)</f>
        <v>30018</v>
      </c>
    </row>
  </sheetData>
  <sheetProtection/>
  <mergeCells count="2">
    <mergeCell ref="A1:F1"/>
    <mergeCell ref="A2:F2"/>
  </mergeCells>
  <printOptions/>
  <pageMargins left="0.7" right="0.7" top="0.8" bottom="0.6" header="0.5" footer="0.5"/>
  <pageSetup horizontalDpi="300" verticalDpi="300" orientation="portrait" r:id="rId1"/>
  <headerFooter alignWithMargins="0">
    <oddFooter>&amp;CPage &amp;P
&amp;R&amp;A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Technologies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Mike</cp:lastModifiedBy>
  <cp:lastPrinted>2016-07-19T20:53:54Z</cp:lastPrinted>
  <dcterms:created xsi:type="dcterms:W3CDTF">1998-08-18T14:45:11Z</dcterms:created>
  <dcterms:modified xsi:type="dcterms:W3CDTF">2016-09-01T21:30:37Z</dcterms:modified>
  <cp:category/>
  <cp:version/>
  <cp:contentType/>
  <cp:contentStatus/>
</cp:coreProperties>
</file>